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985" tabRatio="827" activeTab="5"/>
  </bookViews>
  <sheets>
    <sheet name="Program KULTURA" sheetId="29" r:id="rId1"/>
    <sheet name="PA 1" sheetId="30" r:id="rId2"/>
    <sheet name="PA 1 - Projekti" sheetId="32" r:id="rId3"/>
    <sheet name="PA 2" sheetId="33" r:id="rId4"/>
    <sheet name="PA 2 - Projekti" sheetId="34" r:id="rId5"/>
    <sheet name="PA 3" sheetId="35" r:id="rId6"/>
    <sheet name="PA 3 - Projekti" sheetId="38" r:id="rId7"/>
  </sheets>
  <definedNames>
    <definedName name="_xlnm.Print_Area" localSheetId="1">'PA 1'!$A$1:$I$58</definedName>
    <definedName name="_xlnm.Print_Area" localSheetId="3">'PA 2'!$A$1:$I$24</definedName>
    <definedName name="_xlnm.Print_Area" localSheetId="4">'PA 2 - Projekti'!$A$2:$I$5</definedName>
    <definedName name="_xlnm.Print_Area" localSheetId="5">'PA 3'!$A$1:$I$23</definedName>
    <definedName name="_xlnm.Print_Area" localSheetId="0">'Program KULTURA'!$A$1:$I$21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9"/>
  <c r="G14"/>
  <c r="F14"/>
  <c r="G19"/>
  <c r="H19"/>
  <c r="F19"/>
  <c r="G18"/>
  <c r="H18"/>
  <c r="F18"/>
  <c r="H17"/>
  <c r="G17"/>
  <c r="F17"/>
  <c r="H7" i="32" l="1"/>
  <c r="G52" i="30"/>
  <c r="F52"/>
  <c r="G51"/>
  <c r="F51"/>
  <c r="H13"/>
  <c r="G49"/>
  <c r="G50"/>
  <c r="F50"/>
  <c r="F49"/>
  <c r="G13"/>
  <c r="F13"/>
  <c r="H57"/>
  <c r="H56"/>
  <c r="H58" s="1"/>
  <c r="H45"/>
  <c r="H43"/>
  <c r="H40"/>
  <c r="H38"/>
  <c r="H36"/>
  <c r="H35"/>
  <c r="H34"/>
  <c r="H33"/>
  <c r="H31"/>
  <c r="H30"/>
  <c r="H29"/>
  <c r="H28"/>
  <c r="H27"/>
  <c r="H26"/>
  <c r="H46" s="1"/>
  <c r="G56"/>
  <c r="G43"/>
  <c r="G45"/>
  <c r="G40"/>
  <c r="G38"/>
  <c r="G36"/>
  <c r="G35"/>
  <c r="G34"/>
  <c r="G33"/>
  <c r="G31"/>
  <c r="G30"/>
  <c r="G28"/>
  <c r="G29"/>
  <c r="G27"/>
  <c r="G26"/>
  <c r="F56" l="1"/>
  <c r="G57"/>
  <c r="F57"/>
  <c r="F45"/>
  <c r="F27"/>
  <c r="F43"/>
  <c r="F40"/>
  <c r="F38"/>
  <c r="F36"/>
  <c r="F35"/>
  <c r="F34"/>
  <c r="F33"/>
  <c r="F32"/>
  <c r="F31"/>
  <c r="F30"/>
  <c r="F29"/>
  <c r="F28"/>
  <c r="F26"/>
  <c r="I37"/>
  <c r="E28"/>
  <c r="E26"/>
  <c r="E20"/>
  <c r="E57" l="1"/>
  <c r="E45"/>
  <c r="E44"/>
  <c r="E43"/>
  <c r="E40"/>
  <c r="E39"/>
  <c r="E38"/>
  <c r="E36"/>
  <c r="E35"/>
  <c r="E34"/>
  <c r="E33"/>
  <c r="E31"/>
  <c r="E30"/>
  <c r="E29"/>
  <c r="E27"/>
  <c r="E17" i="29"/>
  <c r="H7" i="38"/>
  <c r="G7"/>
  <c r="F7"/>
  <c r="E7"/>
  <c r="H5" i="34"/>
  <c r="G5"/>
  <c r="F5"/>
  <c r="E5"/>
  <c r="F7" i="32"/>
  <c r="G7"/>
  <c r="E7"/>
  <c r="F58" i="30" l="1"/>
  <c r="G58"/>
  <c r="E56"/>
  <c r="I5" i="32"/>
  <c r="I5" i="38" l="1"/>
  <c r="I4"/>
  <c r="I6"/>
  <c r="I3"/>
  <c r="G22" i="35"/>
  <c r="H22"/>
  <c r="I17"/>
  <c r="I16"/>
  <c r="G18"/>
  <c r="I19" i="29" s="1"/>
  <c r="H18" i="35"/>
  <c r="I4" i="34"/>
  <c r="I3"/>
  <c r="I22" i="33"/>
  <c r="G23"/>
  <c r="H23"/>
  <c r="I18"/>
  <c r="G19"/>
  <c r="H19"/>
  <c r="I4" i="32"/>
  <c r="I6"/>
  <c r="I3"/>
  <c r="I57" i="30"/>
  <c r="I32"/>
  <c r="I39"/>
  <c r="I44"/>
  <c r="I18" i="29"/>
  <c r="G20"/>
  <c r="H20"/>
  <c r="I7" i="38" l="1"/>
  <c r="I7" i="32"/>
  <c r="I5" i="34"/>
  <c r="G46" i="30"/>
  <c r="E18" i="35"/>
  <c r="E21" s="1"/>
  <c r="E22" s="1"/>
  <c r="F18"/>
  <c r="F23" i="33"/>
  <c r="I23" s="1"/>
  <c r="E23"/>
  <c r="F19"/>
  <c r="I19" s="1"/>
  <c r="E19"/>
  <c r="I38" i="30"/>
  <c r="I34"/>
  <c r="I45"/>
  <c r="I43"/>
  <c r="I40"/>
  <c r="I36"/>
  <c r="I35"/>
  <c r="I33"/>
  <c r="I31"/>
  <c r="I30"/>
  <c r="I29"/>
  <c r="I28"/>
  <c r="I27"/>
  <c r="I26"/>
  <c r="J20"/>
  <c r="M11"/>
  <c r="M12"/>
  <c r="L12"/>
  <c r="M13"/>
  <c r="L13"/>
  <c r="J11"/>
  <c r="J18" s="1"/>
  <c r="K12"/>
  <c r="K14" s="1"/>
  <c r="J12"/>
  <c r="J14" s="1"/>
  <c r="E20" i="29"/>
  <c r="I18" i="35" l="1"/>
  <c r="F21"/>
  <c r="I46" i="30"/>
  <c r="F20" i="29"/>
  <c r="I17"/>
  <c r="E58" i="30"/>
  <c r="E46"/>
  <c r="M18"/>
  <c r="J15"/>
  <c r="M15"/>
  <c r="M17"/>
  <c r="F46"/>
  <c r="M14"/>
  <c r="J17"/>
  <c r="M20"/>
  <c r="L14"/>
  <c r="I58"/>
  <c r="I56"/>
  <c r="I21" i="35" l="1"/>
  <c r="F22"/>
  <c r="I22" s="1"/>
  <c r="I20" i="29"/>
  <c r="K46" i="30"/>
</calcChain>
</file>

<file path=xl/sharedStrings.xml><?xml version="1.0" encoding="utf-8"?>
<sst xmlns="http://schemas.openxmlformats.org/spreadsheetml/2006/main" count="300" uniqueCount="163">
  <si>
    <t>175</t>
  </si>
  <si>
    <t>180</t>
  </si>
  <si>
    <t>17,5</t>
  </si>
  <si>
    <t>1,38</t>
  </si>
  <si>
    <t>/</t>
  </si>
  <si>
    <t>17,6</t>
  </si>
  <si>
    <t>181</t>
  </si>
  <si>
    <t>182</t>
  </si>
  <si>
    <t>&gt;=1</t>
  </si>
  <si>
    <t>Број манифестација које имају за циљ промовисање женских људских права</t>
  </si>
  <si>
    <t>Програмски Буџет - ПРОГРАМ</t>
  </si>
  <si>
    <t>Назив програма:</t>
  </si>
  <si>
    <t>КУЛТУРА</t>
  </si>
  <si>
    <t>Сврха:</t>
  </si>
  <si>
    <t>Развој културе на подручју Града</t>
  </si>
  <si>
    <t>Основ:</t>
  </si>
  <si>
    <t>Опис:</t>
  </si>
  <si>
    <t>Програм обухвата подршку културним установама, организацијама и дјелатностема, те културним манифестацијама на подручју Града</t>
  </si>
  <si>
    <t>Одговорно лице за 
спровођење програма:</t>
  </si>
  <si>
    <t>Назив организационе јединице</t>
  </si>
  <si>
    <t>Циљ</t>
  </si>
  <si>
    <t xml:space="preserve">Индикатори </t>
  </si>
  <si>
    <t>Назив индикатора</t>
  </si>
  <si>
    <t>Вриједност у базној години (2019)</t>
  </si>
  <si>
    <t>Циљана вриједност 2022</t>
  </si>
  <si>
    <t xml:space="preserve">Извор верификације за сваки индикатор </t>
  </si>
  <si>
    <t>Планско  подстицање развоја културе кроз јачање капацитета културне инфраструктуре и унапређење чувања културно-историјског насљеђа</t>
  </si>
  <si>
    <t>Укупан број манифестација на 1000 становника</t>
  </si>
  <si>
    <t>Информација о стању у области културе на подручју града Градиша</t>
  </si>
  <si>
    <t>Задовољство грађана културним садржајима у граду (по сполној структури)</t>
  </si>
  <si>
    <t>Анкете</t>
  </si>
  <si>
    <t>Укупна средства у култури у оквиру локалног буџета</t>
  </si>
  <si>
    <t>Извјештај о извршењу буџета</t>
  </si>
  <si>
    <t xml:space="preserve">Списак програмских мјера </t>
  </si>
  <si>
    <t>Расходи
 у 2022</t>
  </si>
  <si>
    <t>Мјера:</t>
  </si>
  <si>
    <t>Функционисање локалних установа културе</t>
  </si>
  <si>
    <t>Подстицаји културном и умјетничком стваралаштву</t>
  </si>
  <si>
    <t>Подршка одржавању културних манифестација</t>
  </si>
  <si>
    <t>УКУПНО:</t>
  </si>
  <si>
    <t>Извори финансирања</t>
  </si>
  <si>
    <t>Извори
 у 2022</t>
  </si>
  <si>
    <t>Буџет града Градишка</t>
  </si>
  <si>
    <t xml:space="preserve">Властити приходи буџетских корисника </t>
  </si>
  <si>
    <t xml:space="preserve">Расходи и издаци директно везани за програмску мјеру </t>
  </si>
  <si>
    <t>Расходи за бруто плате</t>
  </si>
  <si>
    <t>Расходи за бруто накнаде</t>
  </si>
  <si>
    <t>Расходи за нак плата за вријеме боловања</t>
  </si>
  <si>
    <t>Расходи за отпремнине и једнократне помоћи</t>
  </si>
  <si>
    <t>Расходи по основу утрошка енергије, комуналних и комуникационих услуга</t>
  </si>
  <si>
    <t>Расходи за режијски материјал</t>
  </si>
  <si>
    <t>Расходи за посебне намјене</t>
  </si>
  <si>
    <t>Расходи за текуће одржавање</t>
  </si>
  <si>
    <t>Расходи по основу путовања и смјештаја</t>
  </si>
  <si>
    <t>Расходи за стручне услуге</t>
  </si>
  <si>
    <t>Остали некласификовани расходи (програмске активности)</t>
  </si>
  <si>
    <t>Расходи из трансакција размјене унутар исте јединице власти</t>
  </si>
  <si>
    <t>Издаци за инвестиционо одржавање</t>
  </si>
  <si>
    <t>Издаци за набавку опреме</t>
  </si>
  <si>
    <t>Издаци по основу пореза на додату вриједност</t>
  </si>
  <si>
    <t>Накнаде плата за вријеме болести</t>
  </si>
  <si>
    <t xml:space="preserve">Програм: </t>
  </si>
  <si>
    <t>Назив:</t>
  </si>
  <si>
    <t xml:space="preserve"> Функционисање локалних установа културе </t>
  </si>
  <si>
    <t>Назив организационе јединице:</t>
  </si>
  <si>
    <t>Осигуравање финансијске подршке локалним установама културе</t>
  </si>
  <si>
    <t>Овом програмском активношћу пружа се подршка локалних установа културе кроз осигуравање финансијских средстава за њихово функционисање као и реализацију пројектних активности. Реализација ових активности осигурава развој културе на подручју града те промоцији културе кроз њихов рад.</t>
  </si>
  <si>
    <t>Одговорно лице за 
спровођење прог активности:</t>
  </si>
  <si>
    <t>Индикатори исхода/излазног резултата</t>
  </si>
  <si>
    <t>Подстицање културног развоја кроз изградњу капацитета културних установа</t>
  </si>
  <si>
    <t>Проценат удјела средстава за културне програме у буџету установа културе; процент удјела плата упосленика у буџету установа културе (подаци представљени према полу)</t>
  </si>
  <si>
    <t>Проценат удјела капиталних  улагања у буџету културних институција</t>
  </si>
  <si>
    <t>Број школа у односу на укупни број које су у имале организиране посјете установама културе</t>
  </si>
  <si>
    <t>Годишњи извјештају установа културе</t>
  </si>
  <si>
    <t>Проценат буџета намењен финансирању установа културе</t>
  </si>
  <si>
    <t>Побољшање ефикасности установа културе</t>
  </si>
  <si>
    <t>Број запослених у културним институцијама у односу на укупно становништво града укључујући и полну структуру</t>
  </si>
  <si>
    <t>у - 0,01%                ж - 0,08%                 м - 0,11%</t>
  </si>
  <si>
    <t>Број посјетилаца/чланова установа културе (подаци представљени према полу)</t>
  </si>
  <si>
    <t>Процентуално учешће властитих прихода у буџету установа културе</t>
  </si>
  <si>
    <t>Годишња потрошња електричне енергије у КМ по м2 површине</t>
  </si>
  <si>
    <t>Годишња потрошња воде у КМ по запосленом</t>
  </si>
  <si>
    <t>Годишња потрошња топлинске енергије намијењена за гријање просторија у КМ на 1000м2</t>
  </si>
  <si>
    <t xml:space="preserve">Списак пројеката у оквиру програмске мјере </t>
  </si>
  <si>
    <t>Пројекат:</t>
  </si>
  <si>
    <t>ЈУ Завичајни музеј Градишка</t>
  </si>
  <si>
    <t>ЈУ Културни центар Градишка</t>
  </si>
  <si>
    <t>ЈУ Народна библиотека Градишка</t>
  </si>
  <si>
    <t>ЈУ Градско позориште Градишка</t>
  </si>
  <si>
    <t>УКУПНО</t>
  </si>
  <si>
    <t>Програмски Буџет - ПРОЈЕКТИ</t>
  </si>
  <si>
    <t>Програм:</t>
  </si>
  <si>
    <t>Повећање интересовања грађана развоју културе</t>
  </si>
  <si>
    <t>Овом програмском активношћу пружа се подршка организацијама и удружењима из области културе кроз осигуравање дијела финансијских средстава за реализацију њихових пројектних активности. Реализација ових активности осигурава развој културе на подручју града те промоцији културе кроз њихов рад.</t>
  </si>
  <si>
    <t>Одговорно лице за спровођење програма активности:</t>
  </si>
  <si>
    <t>Подршка раду и промоцији рада културних организација и удружења на подручју Града</t>
  </si>
  <si>
    <t>Број организација и удружења у области културе на подручју Града у односу на број становника (укупно и полна структура)</t>
  </si>
  <si>
    <t>о и у -17               у- 2,7 %          м- 1,2%           ж-4,2 %</t>
  </si>
  <si>
    <t>о и у -17               у- 2,7 %           м- 1,2%             ж-4,2 %</t>
  </si>
  <si>
    <t>Информација о стању у области културе на подручју града Градишка</t>
  </si>
  <si>
    <t>Број организованих културних догађаја од стране организација и удружења у области културе</t>
  </si>
  <si>
    <t>Број посјета школа установама културе</t>
  </si>
  <si>
    <t>Расходи и издаци директно везани за програмску мјеру</t>
  </si>
  <si>
    <t>Текући грантови културним организацијама и дјелатностима</t>
  </si>
  <si>
    <t>Извори у 2022</t>
  </si>
  <si>
    <t>Списак пројеката у оквиру програмске мјере</t>
  </si>
  <si>
    <t>Расподјела средства организацијама и удружењима у области културе на основу програми/пројекти који се спроводе у интересу и на подручју града Градишка на основу Јавног позива</t>
  </si>
  <si>
    <t xml:space="preserve">Додјела средства организацијама и удружењима у области културе на основу програми/пројекти који се спроводе у интересу и на подручју града Градишка на основу захтјева из резерве </t>
  </si>
  <si>
    <t>Служба Градоначелника</t>
  </si>
  <si>
    <t>Повећање задовољства грађањем културним садржајем на подручју Града</t>
  </si>
  <si>
    <t>Овом програмском активношћу пружа се подршка развоју културних садржаја  кроз осигуравање финансијских средстава за реализацију културних програмских манифестација</t>
  </si>
  <si>
    <t>Повећање заинтересираности грађана за културна догађања</t>
  </si>
  <si>
    <t>Број планираних манифестација културе које организира градска управа</t>
  </si>
  <si>
    <t>Годишњи план рада ЈЛС</t>
  </si>
  <si>
    <t>Број грађана који је присуствовао одржаним манифестацијама културе</t>
  </si>
  <si>
    <t>Извјештаји о реализацији плана рада ЈЛС</t>
  </si>
  <si>
    <t>Списак пројеката у оквиу програмске мјере</t>
  </si>
  <si>
    <t>Градишка зима</t>
  </si>
  <si>
    <t>Градишко љето</t>
  </si>
  <si>
    <t>Градишка јесен</t>
  </si>
  <si>
    <t>Програмски Буџет - Мјера</t>
  </si>
  <si>
    <t>Програмски Буџет - МЈЕРА</t>
  </si>
  <si>
    <t>Годишњи извјештаји установа културе</t>
  </si>
  <si>
    <t>Год.извјеш. установа културе</t>
  </si>
  <si>
    <t>Расходи у базној год (2020)</t>
  </si>
  <si>
    <t>Расходи
 у 2023</t>
  </si>
  <si>
    <t>2,54%</t>
  </si>
  <si>
    <t>Издаци за залихе материјала</t>
  </si>
  <si>
    <t>Извори у базној год (2020)</t>
  </si>
  <si>
    <t>Извори
 у 2023</t>
  </si>
  <si>
    <t>Расходи у базној години (2020)</t>
  </si>
  <si>
    <t>Расходи у 2023</t>
  </si>
  <si>
    <t>Извори у базној години (2020)</t>
  </si>
  <si>
    <t>Извори у 2023</t>
  </si>
  <si>
    <t>Циљана вриједност 2023</t>
  </si>
  <si>
    <t>Дан Града (културне манифестације )</t>
  </si>
  <si>
    <t>Вриједност у базној години (2020)</t>
  </si>
  <si>
    <t>17,8%, 56,0%</t>
  </si>
  <si>
    <t>2,3%,</t>
  </si>
  <si>
    <t>1,8%</t>
  </si>
  <si>
    <t>Број укључених у рад организација и удружења у област културе</t>
  </si>
  <si>
    <t>Расходи по основу затезних камата</t>
  </si>
  <si>
    <t>Одјељење за привреду и друштвене дјелатности</t>
  </si>
  <si>
    <t>Драгана Бјелић, самостални стручни сарадник за здравство, социјалну заштиту, културу и религију</t>
  </si>
  <si>
    <t>Закон о културу, Закон о локалној самоуправи, Статут града Градишка, Стратегија развоја града Градишка за период 2019-2027. година, Правилник о критеријумима, начину и поступку расподјеле средстава организацијама у области културе, Одлука о извршењу Буџета града Градишка</t>
  </si>
  <si>
    <t>Закон о културу, Закон о локалној самоуправи, Статут града Градишка, Стратегија развоја града Градишка за период 2019-2027. година, Правилник о критеријумима, начину и поступку расподјеле средстава организацијамау области културе, Одлука о извршењу Буџета града Градишка</t>
  </si>
  <si>
    <t>Закон о култури, Закон о локалној самоуправи, Статут града Градишка, Стратегија развоја града Градишка за период 2019-2027. година, Правилник о критеријумима, начину и поступку расподјеле средстава организацијама у области културе, Одлука о извршењу Буџета града Градишка</t>
  </si>
  <si>
    <t>Вриједност у базној години (2022)</t>
  </si>
  <si>
    <t>Циљана вриједност 2024</t>
  </si>
  <si>
    <t>Расходи у базној год (2022)</t>
  </si>
  <si>
    <t>Расходи
 у 2024</t>
  </si>
  <si>
    <t>УКУПНО (2022-2024):</t>
  </si>
  <si>
    <t>19%, 61%</t>
  </si>
  <si>
    <t>20%, 65%</t>
  </si>
  <si>
    <t>Издаци за драгоцјености</t>
  </si>
  <si>
    <t>Издаци за лиценце</t>
  </si>
  <si>
    <t>Расходи у базној години (2022)</t>
  </si>
  <si>
    <t>Расходи у  2023</t>
  </si>
  <si>
    <t>Расходи у 2024</t>
  </si>
  <si>
    <t>Извори у 2024</t>
  </si>
  <si>
    <t>Извори у базној год (2022)</t>
  </si>
  <si>
    <t>Извори
 у 2024</t>
  </si>
  <si>
    <t>Драгутин Ковачевић, Начелник службе Градоначелника</t>
  </si>
</sst>
</file>

<file path=xl/styles.xml><?xml version="1.0" encoding="utf-8"?>
<styleSheet xmlns="http://schemas.openxmlformats.org/spreadsheetml/2006/main">
  <numFmts count="1">
    <numFmt numFmtId="43" formatCode="_-* #,##0.00\ _K_M_-;\-* #,##0.00\ _K_M_-;_-* &quot;-&quot;??\ _K_M_-;_-@_-"/>
  </numFmts>
  <fonts count="20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1" xfId="0" applyFont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 wrapText="1"/>
    </xf>
    <xf numFmtId="2" fontId="6" fillId="0" borderId="0" xfId="0" applyNumberFormat="1" applyFont="1"/>
    <xf numFmtId="0" fontId="6" fillId="0" borderId="0" xfId="0" applyFont="1" applyAlignment="1">
      <alignment horizontal="center"/>
    </xf>
    <xf numFmtId="49" fontId="6" fillId="0" borderId="0" xfId="0" applyNumberFormat="1" applyFont="1" applyFill="1" applyBorder="1" applyAlignment="1">
      <alignment vertical="top" wrapText="1"/>
    </xf>
    <xf numFmtId="4" fontId="6" fillId="0" borderId="0" xfId="0" applyNumberFormat="1" applyFont="1"/>
    <xf numFmtId="43" fontId="6" fillId="0" borderId="0" xfId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9" fontId="11" fillId="0" borderId="0" xfId="0" applyNumberFormat="1" applyFont="1" applyFill="1" applyBorder="1" applyAlignment="1">
      <alignment vertical="top" wrapText="1"/>
    </xf>
    <xf numFmtId="2" fontId="11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indent="4"/>
    </xf>
    <xf numFmtId="3" fontId="11" fillId="3" borderId="1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3" fillId="0" borderId="1" xfId="1" applyNumberFormat="1" applyFont="1" applyFill="1" applyBorder="1" applyAlignment="1" applyProtection="1">
      <alignment horizontal="right" vertical="center"/>
    </xf>
    <xf numFmtId="3" fontId="14" fillId="3" borderId="1" xfId="0" applyNumberFormat="1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3" fontId="10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5" fillId="0" borderId="1" xfId="0" applyFont="1" applyBorder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wrapText="1"/>
    </xf>
    <xf numFmtId="3" fontId="16" fillId="0" borderId="1" xfId="0" applyNumberFormat="1" applyFont="1" applyFill="1" applyBorder="1" applyAlignment="1">
      <alignment horizontal="right" vertical="center" wrapText="1"/>
    </xf>
    <xf numFmtId="3" fontId="16" fillId="3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0" xfId="0" applyFont="1"/>
    <xf numFmtId="3" fontId="11" fillId="0" borderId="0" xfId="0" applyNumberFormat="1" applyFont="1"/>
    <xf numFmtId="0" fontId="15" fillId="6" borderId="0" xfId="0" applyFont="1" applyFill="1" applyAlignment="1">
      <alignment wrapText="1"/>
    </xf>
    <xf numFmtId="49" fontId="5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49" fontId="10" fillId="0" borderId="14" xfId="0" applyNumberFormat="1" applyFont="1" applyFill="1" applyBorder="1" applyAlignment="1">
      <alignment horizontal="right" vertical="center" wrapText="1"/>
    </xf>
    <xf numFmtId="49" fontId="10" fillId="0" borderId="15" xfId="0" applyNumberFormat="1" applyFont="1" applyFill="1" applyBorder="1" applyAlignment="1">
      <alignment horizontal="right" vertical="center" wrapText="1"/>
    </xf>
    <xf numFmtId="49" fontId="10" fillId="0" borderId="9" xfId="0" applyNumberFormat="1" applyFont="1" applyFill="1" applyBorder="1" applyAlignment="1">
      <alignment horizontal="righ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3" fillId="0" borderId="0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right" vertical="center" wrapText="1"/>
    </xf>
    <xf numFmtId="49" fontId="5" fillId="0" borderId="15" xfId="0" applyNumberFormat="1" applyFont="1" applyFill="1" applyBorder="1" applyAlignment="1">
      <alignment horizontal="right" vertical="center" wrapText="1"/>
    </xf>
    <xf numFmtId="49" fontId="5" fillId="0" borderId="9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7" fillId="0" borderId="5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zoomScaleSheetLayoutView="120" workbookViewId="0">
      <selection activeCell="H14" sqref="H14"/>
    </sheetView>
  </sheetViews>
  <sheetFormatPr defaultColWidth="8.85546875" defaultRowHeight="11.25"/>
  <cols>
    <col min="1" max="1" width="12" style="37" customWidth="1"/>
    <col min="2" max="2" width="17.7109375" style="55" customWidth="1"/>
    <col min="3" max="3" width="28.28515625" style="55" customWidth="1"/>
    <col min="4" max="4" width="25.42578125" style="37" customWidth="1"/>
    <col min="5" max="5" width="15.42578125" style="37" hidden="1" customWidth="1"/>
    <col min="6" max="6" width="14.42578125" style="37" customWidth="1"/>
    <col min="7" max="7" width="15" style="37" customWidth="1"/>
    <col min="8" max="8" width="15.140625" style="37" customWidth="1"/>
    <col min="9" max="9" width="15.7109375" style="37" customWidth="1"/>
    <col min="10" max="16384" width="8.85546875" style="37"/>
  </cols>
  <sheetData>
    <row r="1" spans="1:9" ht="12" thickBot="1">
      <c r="A1" s="104" t="s">
        <v>10</v>
      </c>
      <c r="B1" s="105"/>
      <c r="C1" s="105"/>
      <c r="D1" s="105"/>
      <c r="E1" s="105"/>
      <c r="F1" s="105"/>
      <c r="G1" s="105"/>
      <c r="H1" s="105"/>
      <c r="I1" s="106"/>
    </row>
    <row r="2" spans="1:9">
      <c r="A2" s="115" t="s">
        <v>11</v>
      </c>
      <c r="B2" s="116"/>
      <c r="C2" s="113" t="s">
        <v>12</v>
      </c>
      <c r="D2" s="113"/>
      <c r="E2" s="113"/>
      <c r="F2" s="113"/>
      <c r="G2" s="113"/>
      <c r="H2" s="113"/>
      <c r="I2" s="114"/>
    </row>
    <row r="3" spans="1:9">
      <c r="A3" s="115" t="s">
        <v>13</v>
      </c>
      <c r="B3" s="116"/>
      <c r="C3" s="113" t="s">
        <v>14</v>
      </c>
      <c r="D3" s="113"/>
      <c r="E3" s="113"/>
      <c r="F3" s="113"/>
      <c r="G3" s="113"/>
      <c r="H3" s="113"/>
      <c r="I3" s="114"/>
    </row>
    <row r="4" spans="1:9">
      <c r="A4" s="115" t="s">
        <v>15</v>
      </c>
      <c r="B4" s="116"/>
      <c r="C4" s="111" t="s">
        <v>146</v>
      </c>
      <c r="D4" s="111"/>
      <c r="E4" s="111"/>
      <c r="F4" s="111"/>
      <c r="G4" s="111"/>
      <c r="H4" s="111"/>
      <c r="I4" s="112"/>
    </row>
    <row r="5" spans="1:9">
      <c r="A5" s="115" t="s">
        <v>16</v>
      </c>
      <c r="B5" s="116"/>
      <c r="C5" s="109" t="s">
        <v>17</v>
      </c>
      <c r="D5" s="109"/>
      <c r="E5" s="109"/>
      <c r="F5" s="109"/>
      <c r="G5" s="109"/>
      <c r="H5" s="109"/>
      <c r="I5" s="110"/>
    </row>
    <row r="6" spans="1:9">
      <c r="A6" s="121" t="s">
        <v>18</v>
      </c>
      <c r="B6" s="116"/>
      <c r="C6" s="119" t="s">
        <v>143</v>
      </c>
      <c r="D6" s="119"/>
      <c r="E6" s="119"/>
      <c r="F6" s="119"/>
      <c r="G6" s="119"/>
      <c r="H6" s="119"/>
      <c r="I6" s="120"/>
    </row>
    <row r="7" spans="1:9" ht="12" thickBot="1">
      <c r="A7" s="117" t="s">
        <v>19</v>
      </c>
      <c r="B7" s="118"/>
      <c r="C7" s="107" t="s">
        <v>142</v>
      </c>
      <c r="D7" s="107"/>
      <c r="E7" s="107"/>
      <c r="F7" s="107"/>
      <c r="G7" s="107"/>
      <c r="H7" s="107"/>
      <c r="I7" s="108"/>
    </row>
    <row r="8" spans="1:9">
      <c r="A8" s="38"/>
      <c r="B8" s="39"/>
      <c r="C8" s="40"/>
      <c r="D8" s="38"/>
      <c r="E8" s="38"/>
      <c r="F8" s="38"/>
    </row>
    <row r="9" spans="1:9">
      <c r="A9" s="124"/>
      <c r="B9" s="98" t="s">
        <v>20</v>
      </c>
      <c r="C9" s="98"/>
      <c r="D9" s="98" t="s">
        <v>21</v>
      </c>
      <c r="E9" s="98"/>
      <c r="F9" s="98"/>
      <c r="G9" s="98"/>
      <c r="H9" s="98"/>
      <c r="I9" s="98"/>
    </row>
    <row r="10" spans="1:9" ht="42">
      <c r="A10" s="124"/>
      <c r="B10" s="98"/>
      <c r="C10" s="98"/>
      <c r="D10" s="41" t="s">
        <v>22</v>
      </c>
      <c r="E10" s="41" t="s">
        <v>23</v>
      </c>
      <c r="F10" s="41" t="s">
        <v>147</v>
      </c>
      <c r="G10" s="89" t="s">
        <v>134</v>
      </c>
      <c r="H10" s="89" t="s">
        <v>148</v>
      </c>
      <c r="I10" s="41" t="s">
        <v>25</v>
      </c>
    </row>
    <row r="11" spans="1:9" ht="56.25">
      <c r="A11" s="125">
        <v>1</v>
      </c>
      <c r="B11" s="123" t="s">
        <v>26</v>
      </c>
      <c r="C11" s="123"/>
      <c r="D11" s="43" t="s">
        <v>27</v>
      </c>
      <c r="E11" s="44" t="s">
        <v>3</v>
      </c>
      <c r="F11" s="94">
        <v>1.56</v>
      </c>
      <c r="G11" s="94">
        <v>1.56</v>
      </c>
      <c r="H11" s="94">
        <v>1.56</v>
      </c>
      <c r="I11" s="46" t="s">
        <v>28</v>
      </c>
    </row>
    <row r="12" spans="1:9" ht="56.25">
      <c r="A12" s="125"/>
      <c r="B12" s="123"/>
      <c r="C12" s="123"/>
      <c r="D12" s="43" t="s">
        <v>9</v>
      </c>
      <c r="E12" s="47" t="s">
        <v>4</v>
      </c>
      <c r="F12" s="94" t="s">
        <v>8</v>
      </c>
      <c r="G12" s="94" t="s">
        <v>8</v>
      </c>
      <c r="H12" s="94" t="s">
        <v>8</v>
      </c>
      <c r="I12" s="46" t="s">
        <v>28</v>
      </c>
    </row>
    <row r="13" spans="1:9" ht="33.75">
      <c r="A13" s="125"/>
      <c r="B13" s="123"/>
      <c r="C13" s="123"/>
      <c r="D13" s="43" t="s">
        <v>29</v>
      </c>
      <c r="E13" s="47" t="s">
        <v>4</v>
      </c>
      <c r="F13" s="94" t="s">
        <v>4</v>
      </c>
      <c r="G13" s="94" t="s">
        <v>4</v>
      </c>
      <c r="H13" s="94" t="s">
        <v>4</v>
      </c>
      <c r="I13" s="46" t="s">
        <v>30</v>
      </c>
    </row>
    <row r="14" spans="1:9" ht="22.5">
      <c r="A14" s="125"/>
      <c r="B14" s="123"/>
      <c r="C14" s="123"/>
      <c r="D14" s="43" t="s">
        <v>31</v>
      </c>
      <c r="E14" s="44" t="s">
        <v>126</v>
      </c>
      <c r="F14" s="96">
        <f>+F20/42550000</f>
        <v>4.0573443008225615E-2</v>
      </c>
      <c r="G14" s="96">
        <f>+G20/41200000</f>
        <v>4.3345873786407765E-2</v>
      </c>
      <c r="H14" s="96">
        <f>+H20/41200000</f>
        <v>4.3345873786407765E-2</v>
      </c>
      <c r="I14" s="46" t="s">
        <v>32</v>
      </c>
    </row>
    <row r="15" spans="1:9">
      <c r="A15" s="48"/>
      <c r="B15" s="48"/>
      <c r="C15" s="48"/>
      <c r="D15" s="122"/>
      <c r="E15" s="122"/>
      <c r="F15" s="122"/>
      <c r="G15" s="49"/>
    </row>
    <row r="16" spans="1:9" ht="31.5">
      <c r="A16" s="50"/>
      <c r="B16" s="98" t="s">
        <v>33</v>
      </c>
      <c r="C16" s="98"/>
      <c r="D16" s="98"/>
      <c r="E16" s="42" t="s">
        <v>124</v>
      </c>
      <c r="F16" s="89" t="s">
        <v>149</v>
      </c>
      <c r="G16" s="89" t="s">
        <v>125</v>
      </c>
      <c r="H16" s="89" t="s">
        <v>150</v>
      </c>
      <c r="I16" s="89" t="s">
        <v>151</v>
      </c>
    </row>
    <row r="17" spans="1:9" ht="19.5" customHeight="1">
      <c r="A17" s="51">
        <v>1</v>
      </c>
      <c r="B17" s="52" t="s">
        <v>35</v>
      </c>
      <c r="C17" s="99" t="s">
        <v>36</v>
      </c>
      <c r="D17" s="100"/>
      <c r="E17" s="57">
        <f>340000+724000+146300+50000</f>
        <v>1260300</v>
      </c>
      <c r="F17" s="57">
        <f>+'PA 1 - Projekti'!F7</f>
        <v>1566400</v>
      </c>
      <c r="G17" s="57">
        <f>+'PA 1 - Projekti'!G7</f>
        <v>1615850</v>
      </c>
      <c r="H17" s="57">
        <f>+'PA 1 - Projekti'!H7</f>
        <v>1615850</v>
      </c>
      <c r="I17" s="57">
        <f>SUM(F17:H17)</f>
        <v>4798100</v>
      </c>
    </row>
    <row r="18" spans="1:9" ht="18.75" customHeight="1">
      <c r="A18" s="51">
        <v>2</v>
      </c>
      <c r="B18" s="52" t="s">
        <v>35</v>
      </c>
      <c r="C18" s="99" t="s">
        <v>37</v>
      </c>
      <c r="D18" s="100"/>
      <c r="E18" s="57">
        <v>75000</v>
      </c>
      <c r="F18" s="57">
        <f>+'PA 2 - Projekti'!F5</f>
        <v>100000</v>
      </c>
      <c r="G18" s="57">
        <f>+'PA 2 - Projekti'!G5</f>
        <v>100000</v>
      </c>
      <c r="H18" s="57">
        <f>+'PA 2 - Projekti'!H5</f>
        <v>100000</v>
      </c>
      <c r="I18" s="57">
        <f t="shared" ref="I18:I20" si="0">SUM(F18:H18)</f>
        <v>300000</v>
      </c>
    </row>
    <row r="19" spans="1:9" ht="21" customHeight="1">
      <c r="A19" s="51">
        <v>3</v>
      </c>
      <c r="B19" s="52" t="s">
        <v>35</v>
      </c>
      <c r="C19" s="99" t="s">
        <v>38</v>
      </c>
      <c r="D19" s="100"/>
      <c r="E19" s="57">
        <v>70000</v>
      </c>
      <c r="F19" s="57">
        <f>+'PA 3 - Projekti'!F7</f>
        <v>60000</v>
      </c>
      <c r="G19" s="57">
        <f>+'PA 3 - Projekti'!G7</f>
        <v>70000</v>
      </c>
      <c r="H19" s="57">
        <f>+'PA 3 - Projekti'!H7</f>
        <v>70000</v>
      </c>
      <c r="I19" s="57">
        <f t="shared" si="0"/>
        <v>200000</v>
      </c>
    </row>
    <row r="20" spans="1:9">
      <c r="A20" s="101" t="s">
        <v>39</v>
      </c>
      <c r="B20" s="102"/>
      <c r="C20" s="102"/>
      <c r="D20" s="103"/>
      <c r="E20" s="58">
        <f>+E17+E18+E19</f>
        <v>1405300</v>
      </c>
      <c r="F20" s="58">
        <f>+F17+F18+F19</f>
        <v>1726400</v>
      </c>
      <c r="G20" s="58">
        <f t="shared" ref="G20:H20" si="1">+G17+G18+G19</f>
        <v>1785850</v>
      </c>
      <c r="H20" s="58">
        <f t="shared" si="1"/>
        <v>1785850</v>
      </c>
      <c r="I20" s="58">
        <f t="shared" si="0"/>
        <v>5298100</v>
      </c>
    </row>
    <row r="21" spans="1:9">
      <c r="A21" s="48"/>
      <c r="B21" s="48"/>
      <c r="C21" s="48"/>
      <c r="D21" s="53"/>
      <c r="E21" s="54"/>
      <c r="F21" s="54"/>
      <c r="G21" s="54"/>
      <c r="H21" s="54"/>
    </row>
    <row r="22" spans="1:9">
      <c r="A22" s="48"/>
      <c r="B22" s="48"/>
      <c r="C22" s="48"/>
      <c r="D22" s="97"/>
      <c r="E22" s="97"/>
      <c r="F22" s="97"/>
      <c r="G22" s="49"/>
      <c r="I22" s="85"/>
    </row>
    <row r="23" spans="1:9">
      <c r="A23" s="48"/>
      <c r="B23" s="48"/>
      <c r="C23" s="48"/>
      <c r="D23" s="97"/>
      <c r="E23" s="97"/>
      <c r="F23" s="97"/>
      <c r="G23" s="49"/>
    </row>
    <row r="24" spans="1:9">
      <c r="C24" s="56"/>
      <c r="F24" s="85"/>
      <c r="G24" s="85"/>
      <c r="H24" s="85"/>
    </row>
    <row r="25" spans="1:9">
      <c r="C25" s="56"/>
      <c r="F25" s="85"/>
    </row>
    <row r="26" spans="1:9">
      <c r="C26" s="56"/>
      <c r="F26" s="85"/>
    </row>
    <row r="27" spans="1:9">
      <c r="C27" s="56"/>
    </row>
    <row r="28" spans="1:9">
      <c r="C28" s="37"/>
    </row>
  </sheetData>
  <mergeCells count="26">
    <mergeCell ref="D9:I9"/>
    <mergeCell ref="A6:B6"/>
    <mergeCell ref="D15:F15"/>
    <mergeCell ref="B11:C14"/>
    <mergeCell ref="B9:C10"/>
    <mergeCell ref="A9:A10"/>
    <mergeCell ref="A11:A14"/>
    <mergeCell ref="A1:I1"/>
    <mergeCell ref="C7:I7"/>
    <mergeCell ref="C5:I5"/>
    <mergeCell ref="C4:I4"/>
    <mergeCell ref="C3:I3"/>
    <mergeCell ref="C2:I2"/>
    <mergeCell ref="A5:B5"/>
    <mergeCell ref="A7:B7"/>
    <mergeCell ref="C6:I6"/>
    <mergeCell ref="A2:B2"/>
    <mergeCell ref="A3:B3"/>
    <mergeCell ref="A4:B4"/>
    <mergeCell ref="D22:F22"/>
    <mergeCell ref="D23:F23"/>
    <mergeCell ref="B16:D16"/>
    <mergeCell ref="C17:D17"/>
    <mergeCell ref="C18:D18"/>
    <mergeCell ref="C19:D19"/>
    <mergeCell ref="A20:D20"/>
  </mergeCells>
  <printOptions horizontalCentered="1"/>
  <pageMargins left="0.39370078740157483" right="0.31496062992125984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6"/>
  <sheetViews>
    <sheetView view="pageBreakPreview" topLeftCell="A28" zoomScale="120" zoomScaleNormal="120" zoomScaleSheetLayoutView="120" workbookViewId="0">
      <selection activeCell="I37" sqref="I37"/>
    </sheetView>
  </sheetViews>
  <sheetFormatPr defaultColWidth="8.85546875" defaultRowHeight="11.25"/>
  <cols>
    <col min="1" max="1" width="6.7109375" style="7" customWidth="1"/>
    <col min="2" max="2" width="17" style="33" customWidth="1"/>
    <col min="3" max="3" width="10.140625" style="33" customWidth="1"/>
    <col min="4" max="4" width="36.42578125" style="7" customWidth="1"/>
    <col min="5" max="5" width="13.42578125" style="7" hidden="1" customWidth="1"/>
    <col min="6" max="6" width="14" style="7" customWidth="1"/>
    <col min="7" max="7" width="14.85546875" style="7" customWidth="1"/>
    <col min="8" max="8" width="15.28515625" style="7" customWidth="1"/>
    <col min="9" max="9" width="19.85546875" style="7" customWidth="1"/>
    <col min="10" max="13" width="0" style="7" hidden="1" customWidth="1"/>
    <col min="14" max="16384" width="8.85546875" style="7"/>
  </cols>
  <sheetData>
    <row r="1" spans="1:13" ht="12" thickBot="1">
      <c r="A1" s="131" t="s">
        <v>121</v>
      </c>
      <c r="B1" s="132"/>
      <c r="C1" s="132"/>
      <c r="D1" s="132"/>
      <c r="E1" s="132"/>
      <c r="F1" s="132"/>
      <c r="G1" s="132"/>
      <c r="H1" s="132"/>
      <c r="I1" s="133"/>
    </row>
    <row r="2" spans="1:13">
      <c r="A2" s="134" t="s">
        <v>61</v>
      </c>
      <c r="B2" s="135"/>
      <c r="C2" s="136" t="s">
        <v>12</v>
      </c>
      <c r="D2" s="136"/>
      <c r="E2" s="136"/>
      <c r="F2" s="136"/>
      <c r="G2" s="136"/>
      <c r="H2" s="136"/>
      <c r="I2" s="137"/>
    </row>
    <row r="3" spans="1:13" s="8" customFormat="1" ht="12">
      <c r="A3" s="139" t="s">
        <v>62</v>
      </c>
      <c r="B3" s="140"/>
      <c r="C3" s="141" t="s">
        <v>63</v>
      </c>
      <c r="D3" s="141"/>
      <c r="E3" s="141"/>
      <c r="F3" s="141"/>
      <c r="G3" s="141"/>
      <c r="H3" s="141"/>
      <c r="I3" s="142"/>
    </row>
    <row r="4" spans="1:13">
      <c r="A4" s="145" t="s">
        <v>64</v>
      </c>
      <c r="B4" s="140"/>
      <c r="C4" s="143" t="s">
        <v>142</v>
      </c>
      <c r="D4" s="143"/>
      <c r="E4" s="143"/>
      <c r="F4" s="143"/>
      <c r="G4" s="143"/>
      <c r="H4" s="143"/>
      <c r="I4" s="144"/>
    </row>
    <row r="5" spans="1:13" ht="12">
      <c r="A5" s="139" t="s">
        <v>13</v>
      </c>
      <c r="B5" s="140"/>
      <c r="C5" s="148" t="s">
        <v>65</v>
      </c>
      <c r="D5" s="148"/>
      <c r="E5" s="148"/>
      <c r="F5" s="148"/>
      <c r="G5" s="148"/>
      <c r="H5" s="148"/>
      <c r="I5" s="149"/>
    </row>
    <row r="6" spans="1:13" ht="24.95" customHeight="1">
      <c r="A6" s="139" t="s">
        <v>15</v>
      </c>
      <c r="B6" s="140"/>
      <c r="C6" s="150" t="s">
        <v>145</v>
      </c>
      <c r="D6" s="150"/>
      <c r="E6" s="150"/>
      <c r="F6" s="150"/>
      <c r="G6" s="150"/>
      <c r="H6" s="150"/>
      <c r="I6" s="151"/>
    </row>
    <row r="7" spans="1:13" ht="27.75" customHeight="1">
      <c r="A7" s="139" t="s">
        <v>16</v>
      </c>
      <c r="B7" s="140"/>
      <c r="C7" s="150" t="s">
        <v>66</v>
      </c>
      <c r="D7" s="150"/>
      <c r="E7" s="150"/>
      <c r="F7" s="150"/>
      <c r="G7" s="150"/>
      <c r="H7" s="150"/>
      <c r="I7" s="151"/>
    </row>
    <row r="8" spans="1:13" ht="34.5" customHeight="1" thickBot="1">
      <c r="A8" s="152" t="s">
        <v>67</v>
      </c>
      <c r="B8" s="153"/>
      <c r="C8" s="154" t="s">
        <v>143</v>
      </c>
      <c r="D8" s="154"/>
      <c r="E8" s="154"/>
      <c r="F8" s="154"/>
      <c r="G8" s="154"/>
      <c r="H8" s="154"/>
      <c r="I8" s="155"/>
    </row>
    <row r="9" spans="1:13">
      <c r="A9" s="9"/>
      <c r="B9" s="10"/>
      <c r="C9" s="11"/>
      <c r="D9" s="9"/>
      <c r="E9" s="9"/>
      <c r="F9" s="9"/>
    </row>
    <row r="10" spans="1:13">
      <c r="A10" s="156"/>
      <c r="B10" s="138" t="s">
        <v>20</v>
      </c>
      <c r="C10" s="138"/>
      <c r="D10" s="138" t="s">
        <v>68</v>
      </c>
      <c r="E10" s="138"/>
      <c r="F10" s="138"/>
      <c r="G10" s="138"/>
      <c r="H10" s="138"/>
      <c r="I10" s="138"/>
      <c r="J10" s="7">
        <v>32605000</v>
      </c>
      <c r="M10" s="7">
        <v>27402000</v>
      </c>
    </row>
    <row r="11" spans="1:13" ht="31.5">
      <c r="A11" s="156"/>
      <c r="B11" s="138"/>
      <c r="C11" s="138"/>
      <c r="D11" s="12" t="s">
        <v>22</v>
      </c>
      <c r="E11" s="12" t="s">
        <v>136</v>
      </c>
      <c r="F11" s="12" t="s">
        <v>147</v>
      </c>
      <c r="G11" s="90" t="s">
        <v>134</v>
      </c>
      <c r="H11" s="90" t="s">
        <v>148</v>
      </c>
      <c r="I11" s="12" t="s">
        <v>25</v>
      </c>
      <c r="J11" s="7">
        <f>4000+8000+1500+8600</f>
        <v>22100</v>
      </c>
      <c r="M11" s="7">
        <f>8000+8000+1000+9000</f>
        <v>26000</v>
      </c>
    </row>
    <row r="12" spans="1:13" ht="45">
      <c r="A12" s="146">
        <v>1</v>
      </c>
      <c r="B12" s="147" t="s">
        <v>69</v>
      </c>
      <c r="C12" s="147"/>
      <c r="D12" s="14" t="s">
        <v>70</v>
      </c>
      <c r="E12" s="15" t="s">
        <v>137</v>
      </c>
      <c r="F12" s="17" t="s">
        <v>152</v>
      </c>
      <c r="G12" s="17" t="s">
        <v>153</v>
      </c>
      <c r="H12" s="17" t="s">
        <v>153</v>
      </c>
      <c r="I12" s="16" t="s">
        <v>32</v>
      </c>
      <c r="J12" s="7">
        <f>171000+330000+70000</f>
        <v>571000</v>
      </c>
      <c r="K12" s="7">
        <f>6000+30000+30000+85000+8000+14000+4000+15000</f>
        <v>192000</v>
      </c>
      <c r="L12" s="7">
        <f>182000+340000+71000</f>
        <v>593000</v>
      </c>
      <c r="M12" s="7">
        <f>6000+35000+35000+85000+6500+60000+6000+16700</f>
        <v>250200</v>
      </c>
    </row>
    <row r="13" spans="1:13" ht="22.5">
      <c r="A13" s="146"/>
      <c r="B13" s="147"/>
      <c r="C13" s="147"/>
      <c r="D13" s="16" t="s">
        <v>71</v>
      </c>
      <c r="E13" s="15" t="s">
        <v>139</v>
      </c>
      <c r="F13" s="95">
        <f>+(11270+58100+2000+13800)*100/1566400</f>
        <v>5.4373084780388155</v>
      </c>
      <c r="G13" s="95">
        <f>+(9500+29000+2000+12000)*100/1615850</f>
        <v>3.2490639601448152</v>
      </c>
      <c r="H13" s="95">
        <f>+(9500+29000+2000+12000)*100/1615850</f>
        <v>3.2490639601448152</v>
      </c>
      <c r="I13" s="16" t="s">
        <v>32</v>
      </c>
      <c r="J13" s="7">
        <v>1112500</v>
      </c>
      <c r="K13" s="7">
        <v>1112500</v>
      </c>
      <c r="L13" s="7">
        <f>308000+694500+156900+54000</f>
        <v>1213400</v>
      </c>
      <c r="M13" s="7">
        <f>308000+694500+156900+54000</f>
        <v>1213400</v>
      </c>
    </row>
    <row r="14" spans="1:13" ht="33.75">
      <c r="A14" s="146"/>
      <c r="B14" s="147"/>
      <c r="C14" s="147"/>
      <c r="D14" s="16" t="s">
        <v>72</v>
      </c>
      <c r="E14" s="17" t="s">
        <v>2</v>
      </c>
      <c r="F14" s="17" t="s">
        <v>2</v>
      </c>
      <c r="G14" s="17" t="s">
        <v>5</v>
      </c>
      <c r="H14" s="17" t="s">
        <v>5</v>
      </c>
      <c r="I14" s="16" t="s">
        <v>73</v>
      </c>
      <c r="J14" s="7">
        <f>J12*100/J13</f>
        <v>51.325842696629216</v>
      </c>
      <c r="K14" s="7">
        <f>K12*100/K13</f>
        <v>17.258426966292134</v>
      </c>
      <c r="L14" s="7">
        <f>L12*100/L13</f>
        <v>48.87094115707928</v>
      </c>
      <c r="M14" s="7">
        <f>M12*100/M13</f>
        <v>20.619746167792979</v>
      </c>
    </row>
    <row r="15" spans="1:13" ht="22.5">
      <c r="A15" s="146"/>
      <c r="B15" s="147"/>
      <c r="C15" s="147"/>
      <c r="D15" s="16" t="s">
        <v>74</v>
      </c>
      <c r="E15" s="15" t="s">
        <v>138</v>
      </c>
      <c r="F15" s="23">
        <v>4</v>
      </c>
      <c r="G15" s="23">
        <v>4</v>
      </c>
      <c r="H15" s="23">
        <v>4</v>
      </c>
      <c r="I15" s="16" t="s">
        <v>32</v>
      </c>
      <c r="J15" s="7">
        <f>+J11*100/J13</f>
        <v>1.9865168539325844</v>
      </c>
      <c r="M15" s="7">
        <f>+M11*100/M13</f>
        <v>2.1427394099225316</v>
      </c>
    </row>
    <row r="16" spans="1:13" ht="26.1" customHeight="1">
      <c r="A16" s="18"/>
      <c r="B16" s="138" t="s">
        <v>20</v>
      </c>
      <c r="C16" s="138"/>
      <c r="D16" s="138" t="s">
        <v>68</v>
      </c>
      <c r="E16" s="138"/>
      <c r="F16" s="138"/>
      <c r="G16" s="138"/>
      <c r="H16" s="138"/>
      <c r="I16" s="138"/>
    </row>
    <row r="17" spans="1:13" ht="31.5">
      <c r="A17" s="19"/>
      <c r="B17" s="138"/>
      <c r="C17" s="138"/>
      <c r="D17" s="12" t="s">
        <v>22</v>
      </c>
      <c r="E17" s="12" t="s">
        <v>23</v>
      </c>
      <c r="F17" s="12" t="s">
        <v>147</v>
      </c>
      <c r="G17" s="90" t="s">
        <v>134</v>
      </c>
      <c r="H17" s="90" t="s">
        <v>148</v>
      </c>
      <c r="I17" s="12" t="s">
        <v>25</v>
      </c>
      <c r="J17" s="7">
        <f>+K12*100/K13</f>
        <v>17.258426966292134</v>
      </c>
      <c r="M17" s="7">
        <f>+M12*100/M13</f>
        <v>20.619746167792979</v>
      </c>
    </row>
    <row r="18" spans="1:13" ht="33.75">
      <c r="A18" s="146">
        <v>2</v>
      </c>
      <c r="B18" s="147" t="s">
        <v>75</v>
      </c>
      <c r="C18" s="147"/>
      <c r="D18" s="20" t="s">
        <v>76</v>
      </c>
      <c r="E18" s="21" t="s">
        <v>77</v>
      </c>
      <c r="F18" s="21" t="s">
        <v>77</v>
      </c>
      <c r="G18" s="21" t="s">
        <v>77</v>
      </c>
      <c r="H18" s="21" t="s">
        <v>77</v>
      </c>
      <c r="I18" s="16" t="s">
        <v>122</v>
      </c>
      <c r="J18" s="7">
        <f>+J11*100/J13</f>
        <v>1.9865168539325844</v>
      </c>
      <c r="M18" s="7">
        <f>+L12*100/L13</f>
        <v>48.87094115707928</v>
      </c>
    </row>
    <row r="19" spans="1:13" ht="38.25" customHeight="1">
      <c r="A19" s="146"/>
      <c r="B19" s="147"/>
      <c r="C19" s="147"/>
      <c r="D19" s="22" t="s">
        <v>78</v>
      </c>
      <c r="E19" s="21">
        <v>84000</v>
      </c>
      <c r="F19" s="21">
        <v>84000</v>
      </c>
      <c r="G19" s="21">
        <v>84000</v>
      </c>
      <c r="H19" s="21">
        <v>84000</v>
      </c>
      <c r="I19" s="16" t="s">
        <v>122</v>
      </c>
    </row>
    <row r="20" spans="1:13" ht="27" customHeight="1">
      <c r="A20" s="146"/>
      <c r="B20" s="147"/>
      <c r="C20" s="147"/>
      <c r="D20" s="20" t="s">
        <v>79</v>
      </c>
      <c r="E20" s="23">
        <f>27000*100/1260300</f>
        <v>2.1423470602237562</v>
      </c>
      <c r="F20" s="23">
        <v>2</v>
      </c>
      <c r="G20" s="23">
        <v>3</v>
      </c>
      <c r="H20" s="23">
        <v>3</v>
      </c>
      <c r="I20" s="16" t="s">
        <v>123</v>
      </c>
      <c r="J20" s="7">
        <f>+J13*100/J10</f>
        <v>3.412053366048152</v>
      </c>
      <c r="M20" s="7">
        <f>+M13*100/M10</f>
        <v>4.4281439310999193</v>
      </c>
    </row>
    <row r="21" spans="1:13" ht="24.75" customHeight="1">
      <c r="A21" s="146"/>
      <c r="B21" s="147"/>
      <c r="C21" s="147"/>
      <c r="D21" s="20" t="s">
        <v>80</v>
      </c>
      <c r="E21" s="21">
        <v>5.32</v>
      </c>
      <c r="F21" s="21">
        <v>5.32</v>
      </c>
      <c r="G21" s="21">
        <v>5.32</v>
      </c>
      <c r="H21" s="21">
        <v>5.32</v>
      </c>
      <c r="I21" s="16" t="s">
        <v>123</v>
      </c>
    </row>
    <row r="22" spans="1:13" ht="27.95" customHeight="1">
      <c r="A22" s="146"/>
      <c r="B22" s="147"/>
      <c r="C22" s="147"/>
      <c r="D22" s="20" t="s">
        <v>81</v>
      </c>
      <c r="E22" s="21">
        <v>58</v>
      </c>
      <c r="F22" s="21">
        <v>58</v>
      </c>
      <c r="G22" s="21">
        <v>58</v>
      </c>
      <c r="H22" s="21">
        <v>58</v>
      </c>
      <c r="I22" s="16" t="s">
        <v>123</v>
      </c>
    </row>
    <row r="23" spans="1:13" ht="33.75">
      <c r="A23" s="146"/>
      <c r="B23" s="147"/>
      <c r="C23" s="147"/>
      <c r="D23" s="20" t="s">
        <v>82</v>
      </c>
      <c r="E23" s="21">
        <v>4509.59</v>
      </c>
      <c r="F23" s="21">
        <v>4000</v>
      </c>
      <c r="G23" s="21">
        <v>4000</v>
      </c>
      <c r="H23" s="21">
        <v>4000</v>
      </c>
      <c r="I23" s="16" t="s">
        <v>123</v>
      </c>
    </row>
    <row r="24" spans="1:13">
      <c r="A24" s="19"/>
      <c r="B24" s="19"/>
      <c r="C24" s="19"/>
      <c r="D24" s="157"/>
      <c r="E24" s="157"/>
      <c r="F24" s="157"/>
      <c r="G24" s="24"/>
    </row>
    <row r="25" spans="1:13" ht="31.5">
      <c r="A25" s="25"/>
      <c r="B25" s="138" t="s">
        <v>44</v>
      </c>
      <c r="C25" s="138"/>
      <c r="D25" s="138"/>
      <c r="E25" s="26" t="s">
        <v>124</v>
      </c>
      <c r="F25" s="90" t="s">
        <v>34</v>
      </c>
      <c r="G25" s="90" t="s">
        <v>125</v>
      </c>
      <c r="H25" s="90" t="s">
        <v>150</v>
      </c>
      <c r="I25" s="90" t="s">
        <v>151</v>
      </c>
    </row>
    <row r="26" spans="1:13" s="30" customFormat="1">
      <c r="A26" s="27">
        <v>1</v>
      </c>
      <c r="B26" s="28">
        <v>411100</v>
      </c>
      <c r="C26" s="129" t="s">
        <v>45</v>
      </c>
      <c r="D26" s="129"/>
      <c r="E26" s="29">
        <f>198000+409000+74000</f>
        <v>681000</v>
      </c>
      <c r="F26" s="29">
        <f>206000+448000+90000</f>
        <v>744000</v>
      </c>
      <c r="G26" s="29">
        <f>228000+520000+83000</f>
        <v>831000</v>
      </c>
      <c r="H26" s="29">
        <f>228000+520000+83000</f>
        <v>831000</v>
      </c>
      <c r="I26" s="29">
        <f>SUM(F26:H26)</f>
        <v>2406000</v>
      </c>
    </row>
    <row r="27" spans="1:13" s="30" customFormat="1">
      <c r="A27" s="27">
        <v>2</v>
      </c>
      <c r="B27" s="28">
        <v>411200</v>
      </c>
      <c r="C27" s="129" t="s">
        <v>46</v>
      </c>
      <c r="D27" s="129"/>
      <c r="E27" s="29">
        <f>40000+80000+8600+2800</f>
        <v>131400</v>
      </c>
      <c r="F27" s="29">
        <f>49500+103000+17300+1600</f>
        <v>171400</v>
      </c>
      <c r="G27" s="29">
        <f>49500+115000+20470+2000</f>
        <v>186970</v>
      </c>
      <c r="H27" s="29">
        <f>49500+115000+20470+2000</f>
        <v>186970</v>
      </c>
      <c r="I27" s="29">
        <f t="shared" ref="I27:I45" si="0">SUM(F27:H27)</f>
        <v>545340</v>
      </c>
    </row>
    <row r="28" spans="1:13" s="30" customFormat="1">
      <c r="A28" s="27">
        <v>3</v>
      </c>
      <c r="B28" s="28">
        <v>411300</v>
      </c>
      <c r="C28" s="129" t="s">
        <v>47</v>
      </c>
      <c r="D28" s="129"/>
      <c r="E28" s="29">
        <f>2000+5000</f>
        <v>7000</v>
      </c>
      <c r="F28" s="29">
        <f>1000+2000</f>
        <v>3000</v>
      </c>
      <c r="G28" s="29">
        <f>3000+2000+10000</f>
        <v>15000</v>
      </c>
      <c r="H28" s="29">
        <f>3000+2000+10000</f>
        <v>15000</v>
      </c>
      <c r="I28" s="29">
        <f t="shared" si="0"/>
        <v>33000</v>
      </c>
    </row>
    <row r="29" spans="1:13" s="30" customFormat="1">
      <c r="A29" s="27">
        <v>4</v>
      </c>
      <c r="B29" s="28">
        <v>411400</v>
      </c>
      <c r="C29" s="129" t="s">
        <v>48</v>
      </c>
      <c r="D29" s="129"/>
      <c r="E29" s="31">
        <f>3000+4000+750</f>
        <v>7750</v>
      </c>
      <c r="F29" s="31">
        <f>3855+4000+8000</f>
        <v>15855</v>
      </c>
      <c r="G29" s="31">
        <f>3000+4000+1500</f>
        <v>8500</v>
      </c>
      <c r="H29" s="31">
        <f>3000+4000+1500</f>
        <v>8500</v>
      </c>
      <c r="I29" s="29">
        <f t="shared" si="0"/>
        <v>32855</v>
      </c>
    </row>
    <row r="30" spans="1:13" s="30" customFormat="1">
      <c r="A30" s="27">
        <v>5</v>
      </c>
      <c r="B30" s="28">
        <v>412200</v>
      </c>
      <c r="C30" s="129" t="s">
        <v>49</v>
      </c>
      <c r="D30" s="129"/>
      <c r="E30" s="31">
        <f>10000+80000+2200+9300</f>
        <v>101500</v>
      </c>
      <c r="F30" s="31">
        <f>11500+98000+4000+11500</f>
        <v>125000</v>
      </c>
      <c r="G30" s="31">
        <f>11500+98000+4000+12500</f>
        <v>126000</v>
      </c>
      <c r="H30" s="31">
        <f>11500+98000+4000+12500</f>
        <v>126000</v>
      </c>
      <c r="I30" s="29">
        <f t="shared" si="0"/>
        <v>377000</v>
      </c>
    </row>
    <row r="31" spans="1:13" s="30" customFormat="1">
      <c r="A31" s="27">
        <v>6</v>
      </c>
      <c r="B31" s="28">
        <v>412300</v>
      </c>
      <c r="C31" s="129" t="s">
        <v>50</v>
      </c>
      <c r="D31" s="129"/>
      <c r="E31" s="31">
        <f>3000+12000+200+4900</f>
        <v>20100</v>
      </c>
      <c r="F31" s="31">
        <f>3500+11000+1100+5000</f>
        <v>20600</v>
      </c>
      <c r="G31" s="31">
        <f>3500+14000+1000+5700</f>
        <v>24200</v>
      </c>
      <c r="H31" s="31">
        <f>3500+14000+1000+5700</f>
        <v>24200</v>
      </c>
      <c r="I31" s="29">
        <f t="shared" si="0"/>
        <v>69000</v>
      </c>
    </row>
    <row r="32" spans="1:13" s="30" customFormat="1">
      <c r="A32" s="27">
        <v>7</v>
      </c>
      <c r="B32" s="28">
        <v>412400</v>
      </c>
      <c r="C32" s="129" t="s">
        <v>51</v>
      </c>
      <c r="D32" s="129"/>
      <c r="E32" s="31">
        <v>300</v>
      </c>
      <c r="F32" s="31">
        <f>100+300</f>
        <v>400</v>
      </c>
      <c r="G32" s="31">
        <v>400</v>
      </c>
      <c r="H32" s="31">
        <v>400</v>
      </c>
      <c r="I32" s="29">
        <f t="shared" si="0"/>
        <v>1200</v>
      </c>
    </row>
    <row r="33" spans="1:11" s="30" customFormat="1">
      <c r="A33" s="27">
        <v>8</v>
      </c>
      <c r="B33" s="28">
        <v>412500</v>
      </c>
      <c r="C33" s="129" t="s">
        <v>52</v>
      </c>
      <c r="D33" s="129"/>
      <c r="E33" s="31">
        <f>6000+15000+100+1100</f>
        <v>22200</v>
      </c>
      <c r="F33" s="31">
        <f>9000+30000+700+1000</f>
        <v>40700</v>
      </c>
      <c r="G33" s="31">
        <f>8000+30000+730+1500</f>
        <v>40230</v>
      </c>
      <c r="H33" s="31">
        <f>8000+30000+730+1500</f>
        <v>40230</v>
      </c>
      <c r="I33" s="29">
        <f t="shared" si="0"/>
        <v>121160</v>
      </c>
    </row>
    <row r="34" spans="1:11" s="30" customFormat="1">
      <c r="A34" s="27">
        <v>9</v>
      </c>
      <c r="B34" s="28">
        <v>412600</v>
      </c>
      <c r="C34" s="129" t="s">
        <v>53</v>
      </c>
      <c r="D34" s="129"/>
      <c r="E34" s="31">
        <f>9000+2000+1500+2300</f>
        <v>14800</v>
      </c>
      <c r="F34" s="31">
        <f>24765+7000+900+3300</f>
        <v>35965</v>
      </c>
      <c r="G34" s="31">
        <f>20000+7000+4000+4000</f>
        <v>35000</v>
      </c>
      <c r="H34" s="31">
        <f>20000+7000+4000+4000</f>
        <v>35000</v>
      </c>
      <c r="I34" s="29">
        <f t="shared" si="0"/>
        <v>105965</v>
      </c>
    </row>
    <row r="35" spans="1:11" s="30" customFormat="1">
      <c r="A35" s="27">
        <v>10</v>
      </c>
      <c r="B35" s="28">
        <v>412700</v>
      </c>
      <c r="C35" s="129" t="s">
        <v>54</v>
      </c>
      <c r="D35" s="129"/>
      <c r="E35" s="31">
        <f>11000+25000+3700+4500</f>
        <v>44200</v>
      </c>
      <c r="F35" s="31">
        <f>20000+33000+19000+2600</f>
        <v>74600</v>
      </c>
      <c r="G35" s="31">
        <f>19000+33000+11300+4000</f>
        <v>67300</v>
      </c>
      <c r="H35" s="31">
        <f>19000+33000+11300+4000</f>
        <v>67300</v>
      </c>
      <c r="I35" s="29">
        <f t="shared" si="0"/>
        <v>209200</v>
      </c>
    </row>
    <row r="36" spans="1:11" s="30" customFormat="1">
      <c r="A36" s="27">
        <v>11</v>
      </c>
      <c r="B36" s="28">
        <v>412900</v>
      </c>
      <c r="C36" s="129" t="s">
        <v>55</v>
      </c>
      <c r="D36" s="129"/>
      <c r="E36" s="31">
        <f>50000+60000+54000+15700</f>
        <v>179700</v>
      </c>
      <c r="F36" s="31">
        <f>46000+68000+89500+18400</f>
        <v>221900</v>
      </c>
      <c r="G36" s="31">
        <f>48500+65000+83000+17400</f>
        <v>213900</v>
      </c>
      <c r="H36" s="31">
        <f>48500+65000+83000+17400</f>
        <v>213900</v>
      </c>
      <c r="I36" s="29">
        <f t="shared" si="0"/>
        <v>649700</v>
      </c>
    </row>
    <row r="37" spans="1:11" s="30" customFormat="1">
      <c r="A37" s="91">
        <v>12</v>
      </c>
      <c r="B37" s="28">
        <v>413900</v>
      </c>
      <c r="C37" s="129" t="s">
        <v>141</v>
      </c>
      <c r="D37" s="129"/>
      <c r="E37" s="31"/>
      <c r="F37" s="31">
        <v>50</v>
      </c>
      <c r="G37" s="31">
        <v>50</v>
      </c>
      <c r="H37" s="31">
        <v>50</v>
      </c>
      <c r="I37" s="29">
        <f t="shared" si="0"/>
        <v>150</v>
      </c>
    </row>
    <row r="38" spans="1:11" s="30" customFormat="1">
      <c r="A38" s="91">
        <v>13</v>
      </c>
      <c r="B38" s="28">
        <v>418400</v>
      </c>
      <c r="C38" s="129" t="s">
        <v>56</v>
      </c>
      <c r="D38" s="129"/>
      <c r="E38" s="31">
        <f>150+2000+700+300</f>
        <v>3150</v>
      </c>
      <c r="F38" s="31">
        <f>360+1900+1300+200</f>
        <v>3760</v>
      </c>
      <c r="G38" s="31">
        <f>300+2000+1000+500</f>
        <v>3800</v>
      </c>
      <c r="H38" s="31">
        <f>300+2000+1000+500</f>
        <v>3800</v>
      </c>
      <c r="I38" s="29">
        <f t="shared" si="0"/>
        <v>11360</v>
      </c>
    </row>
    <row r="39" spans="1:11" s="30" customFormat="1">
      <c r="A39" s="91">
        <v>14</v>
      </c>
      <c r="B39" s="28">
        <v>511200</v>
      </c>
      <c r="C39" s="129" t="s">
        <v>57</v>
      </c>
      <c r="D39" s="129"/>
      <c r="E39" s="31">
        <f>1000</f>
        <v>1000</v>
      </c>
      <c r="F39" s="31">
        <v>1500</v>
      </c>
      <c r="G39" s="31">
        <v>2000</v>
      </c>
      <c r="H39" s="31">
        <v>2000</v>
      </c>
      <c r="I39" s="29">
        <f t="shared" si="0"/>
        <v>5500</v>
      </c>
    </row>
    <row r="40" spans="1:11" s="30" customFormat="1">
      <c r="A40" s="91">
        <v>15</v>
      </c>
      <c r="B40" s="28">
        <v>511300</v>
      </c>
      <c r="C40" s="129" t="s">
        <v>58</v>
      </c>
      <c r="D40" s="129"/>
      <c r="E40" s="31">
        <f>4000+8000+400+8800</f>
        <v>21200</v>
      </c>
      <c r="F40" s="31">
        <f>5770+48000+1700+13800</f>
        <v>69270</v>
      </c>
      <c r="G40" s="31">
        <f>4000+25000+500+12000</f>
        <v>41500</v>
      </c>
      <c r="H40" s="31">
        <f>4000+25000+500+12000</f>
        <v>41500</v>
      </c>
      <c r="I40" s="29">
        <f t="shared" si="0"/>
        <v>152270</v>
      </c>
    </row>
    <row r="41" spans="1:11" s="30" customFormat="1">
      <c r="A41" s="91">
        <v>16</v>
      </c>
      <c r="B41" s="28">
        <v>512000</v>
      </c>
      <c r="C41" s="129" t="s">
        <v>154</v>
      </c>
      <c r="D41" s="129"/>
      <c r="E41" s="31"/>
      <c r="F41" s="31">
        <v>4000</v>
      </c>
      <c r="G41" s="31">
        <v>2500</v>
      </c>
      <c r="H41" s="31">
        <v>2500</v>
      </c>
      <c r="I41" s="29">
        <v>0</v>
      </c>
    </row>
    <row r="42" spans="1:11" s="30" customFormat="1">
      <c r="A42" s="91">
        <v>17</v>
      </c>
      <c r="B42" s="28">
        <v>513700</v>
      </c>
      <c r="C42" s="129" t="s">
        <v>155</v>
      </c>
      <c r="D42" s="129"/>
      <c r="E42" s="31"/>
      <c r="F42" s="31">
        <v>3100</v>
      </c>
      <c r="G42" s="31">
        <v>0</v>
      </c>
      <c r="H42" s="31">
        <v>0</v>
      </c>
      <c r="I42" s="29">
        <v>0</v>
      </c>
    </row>
    <row r="43" spans="1:11" s="30" customFormat="1">
      <c r="A43" s="27">
        <v>18</v>
      </c>
      <c r="B43" s="28">
        <v>516100</v>
      </c>
      <c r="C43" s="129" t="s">
        <v>127</v>
      </c>
      <c r="D43" s="130"/>
      <c r="E43" s="31">
        <f>350+500+150</f>
        <v>1000</v>
      </c>
      <c r="F43" s="31">
        <f>7000+300</f>
        <v>7300</v>
      </c>
      <c r="G43" s="31">
        <f>1000+4000+1500</f>
        <v>6500</v>
      </c>
      <c r="H43" s="31">
        <f>1000+4000+1500</f>
        <v>6500</v>
      </c>
      <c r="I43" s="29">
        <f t="shared" si="0"/>
        <v>20300</v>
      </c>
    </row>
    <row r="44" spans="1:11" s="30" customFormat="1">
      <c r="A44" s="27">
        <v>19</v>
      </c>
      <c r="B44" s="28">
        <v>631000</v>
      </c>
      <c r="C44" s="129" t="s">
        <v>59</v>
      </c>
      <c r="D44" s="130"/>
      <c r="E44" s="31">
        <f>6000</f>
        <v>6000</v>
      </c>
      <c r="F44" s="31">
        <v>4000</v>
      </c>
      <c r="G44" s="31">
        <v>4000</v>
      </c>
      <c r="H44" s="31">
        <v>4000</v>
      </c>
      <c r="I44" s="29">
        <f t="shared" si="0"/>
        <v>12000</v>
      </c>
    </row>
    <row r="45" spans="1:11" s="30" customFormat="1">
      <c r="A45" s="27">
        <v>20</v>
      </c>
      <c r="B45" s="28">
        <v>638000</v>
      </c>
      <c r="C45" s="129" t="s">
        <v>60</v>
      </c>
      <c r="D45" s="129"/>
      <c r="E45" s="31">
        <f>2000+16000</f>
        <v>18000</v>
      </c>
      <c r="F45" s="31">
        <f>1000+19000</f>
        <v>20000</v>
      </c>
      <c r="G45" s="31">
        <f>3000+4000</f>
        <v>7000</v>
      </c>
      <c r="H45" s="31">
        <f>3000+4000</f>
        <v>7000</v>
      </c>
      <c r="I45" s="29">
        <f t="shared" si="0"/>
        <v>34000</v>
      </c>
    </row>
    <row r="46" spans="1:11">
      <c r="A46" s="126" t="s">
        <v>39</v>
      </c>
      <c r="B46" s="127"/>
      <c r="C46" s="127"/>
      <c r="D46" s="128"/>
      <c r="E46" s="31">
        <f>+SUM(E26:E45)</f>
        <v>1260300</v>
      </c>
      <c r="F46" s="31">
        <f>+SUM(F26:F45)</f>
        <v>1566400</v>
      </c>
      <c r="G46" s="31">
        <f t="shared" ref="G46" si="1">+SUM(G26:G45)</f>
        <v>1615850</v>
      </c>
      <c r="H46" s="31">
        <f t="shared" ref="H46" si="2">+SUM(H26:H45)</f>
        <v>1615850</v>
      </c>
      <c r="I46" s="31">
        <f>SUM(I26:I45)</f>
        <v>4786000</v>
      </c>
      <c r="K46" s="32">
        <f>+F46-M13</f>
        <v>353000</v>
      </c>
    </row>
    <row r="47" spans="1:11">
      <c r="A47" s="87"/>
      <c r="B47" s="87"/>
      <c r="C47" s="87"/>
      <c r="D47" s="87"/>
      <c r="E47" s="88"/>
      <c r="F47" s="88"/>
      <c r="G47" s="88"/>
      <c r="H47" s="88"/>
      <c r="I47" s="88"/>
      <c r="K47" s="32"/>
    </row>
    <row r="48" spans="1:11" hidden="1">
      <c r="A48" s="87"/>
      <c r="B48" s="87"/>
      <c r="C48" s="87"/>
      <c r="D48" s="87"/>
      <c r="E48" s="87"/>
      <c r="F48" s="87"/>
      <c r="G48" s="88"/>
      <c r="H48" s="88"/>
      <c r="I48" s="88"/>
      <c r="K48" s="32"/>
    </row>
    <row r="49" spans="1:11" hidden="1">
      <c r="A49" s="87"/>
      <c r="B49" s="87"/>
      <c r="C49" s="87"/>
      <c r="D49" s="87"/>
      <c r="E49" s="88"/>
      <c r="F49" s="88">
        <f>+(20000+46000+33000+68000+19000+89500+2600+18400)*100/1566400</f>
        <v>18.928753830439224</v>
      </c>
      <c r="G49" s="88">
        <f>+(19000+48500+33000+65000+11300+83000+40000+17400)*100/1615850</f>
        <v>19.630535012532103</v>
      </c>
      <c r="H49" s="88"/>
      <c r="I49" s="88"/>
      <c r="K49" s="32"/>
    </row>
    <row r="50" spans="1:11" hidden="1">
      <c r="A50" s="87"/>
      <c r="B50" s="87"/>
      <c r="C50" s="87"/>
      <c r="D50" s="87"/>
      <c r="E50" s="88"/>
      <c r="F50" s="88">
        <f>+(260355+1000+557000+19000+115300+1600)*100/1566400</f>
        <v>60.920263023493362</v>
      </c>
      <c r="G50" s="88">
        <f>+(283500+3000+641000+4000+114970+2000)*100/1615850</f>
        <v>64.886592196057805</v>
      </c>
      <c r="H50" s="88"/>
      <c r="I50" s="88"/>
      <c r="K50" s="32"/>
    </row>
    <row r="51" spans="1:11" hidden="1">
      <c r="A51" s="87"/>
      <c r="B51" s="87"/>
      <c r="C51" s="87"/>
      <c r="D51" s="87"/>
      <c r="E51" s="88"/>
      <c r="F51" s="88">
        <f>1566400*100/42550000</f>
        <v>3.681316098707403</v>
      </c>
      <c r="G51" s="88">
        <f>1615850*100/41200000</f>
        <v>3.9219660194174759</v>
      </c>
      <c r="H51" s="88"/>
      <c r="I51" s="88"/>
      <c r="K51" s="32"/>
    </row>
    <row r="52" spans="1:11" hidden="1">
      <c r="A52" s="87"/>
      <c r="B52" s="87"/>
      <c r="C52" s="87"/>
      <c r="D52" s="87"/>
      <c r="E52" s="88"/>
      <c r="F52" s="88">
        <f>32500*100/1566400</f>
        <v>2.0748212461695608</v>
      </c>
      <c r="G52" s="88">
        <f>46000*100/1615850</f>
        <v>2.8467988984126</v>
      </c>
      <c r="H52" s="88"/>
      <c r="I52" s="88"/>
      <c r="K52" s="32"/>
    </row>
    <row r="53" spans="1:11" hidden="1">
      <c r="A53" s="87"/>
      <c r="B53" s="87"/>
      <c r="C53" s="87"/>
      <c r="D53" s="87"/>
      <c r="E53" s="88"/>
      <c r="F53" s="88"/>
      <c r="G53" s="88"/>
      <c r="H53" s="88"/>
      <c r="I53" s="88"/>
      <c r="K53" s="32"/>
    </row>
    <row r="54" spans="1:11" ht="13.5" customHeight="1">
      <c r="E54" s="34"/>
      <c r="F54" s="34"/>
      <c r="G54" s="24"/>
    </row>
    <row r="55" spans="1:11" ht="31.5">
      <c r="A55" s="25"/>
      <c r="B55" s="138" t="s">
        <v>40</v>
      </c>
      <c r="C55" s="138"/>
      <c r="D55" s="138"/>
      <c r="E55" s="13" t="s">
        <v>128</v>
      </c>
      <c r="F55" s="90" t="s">
        <v>41</v>
      </c>
      <c r="G55" s="90" t="s">
        <v>129</v>
      </c>
      <c r="H55" s="13" t="s">
        <v>129</v>
      </c>
      <c r="I55" s="90" t="s">
        <v>151</v>
      </c>
    </row>
    <row r="56" spans="1:11">
      <c r="A56" s="27">
        <v>1</v>
      </c>
      <c r="B56" s="130" t="s">
        <v>42</v>
      </c>
      <c r="C56" s="158"/>
      <c r="D56" s="159"/>
      <c r="E56" s="31">
        <f>340000+724000+146300+50000-E57</f>
        <v>1233300</v>
      </c>
      <c r="F56" s="31">
        <f>387800+887000+233900+57700-32500</f>
        <v>1533900</v>
      </c>
      <c r="G56" s="88">
        <f>406850+927000+222000+60000-46000</f>
        <v>1569850</v>
      </c>
      <c r="H56" s="88">
        <f>406850+927000+222000+60000-46000</f>
        <v>1569850</v>
      </c>
      <c r="I56" s="31">
        <f>SUM(F56:H56)</f>
        <v>4673600</v>
      </c>
    </row>
    <row r="57" spans="1:11">
      <c r="A57" s="27">
        <v>2</v>
      </c>
      <c r="B57" s="130" t="s">
        <v>43</v>
      </c>
      <c r="C57" s="158"/>
      <c r="D57" s="159"/>
      <c r="E57" s="31">
        <f>1500+2000+20000+3500</f>
        <v>27000</v>
      </c>
      <c r="F57" s="31">
        <f>2000+10000+18000+2500</f>
        <v>32500</v>
      </c>
      <c r="G57" s="31">
        <f>2000+15000+26000+3000</f>
        <v>46000</v>
      </c>
      <c r="H57" s="31">
        <f>2000+15000+26000+3000</f>
        <v>46000</v>
      </c>
      <c r="I57" s="31">
        <f t="shared" ref="I57:I58" si="3">SUM(F57:H57)</f>
        <v>124500</v>
      </c>
    </row>
    <row r="58" spans="1:11">
      <c r="A58" s="126" t="s">
        <v>39</v>
      </c>
      <c r="B58" s="127"/>
      <c r="C58" s="127"/>
      <c r="D58" s="128"/>
      <c r="E58" s="31">
        <f>+E56+E57</f>
        <v>1260300</v>
      </c>
      <c r="F58" s="31">
        <f>F56+F57</f>
        <v>1566400</v>
      </c>
      <c r="G58" s="31">
        <f>G56+G57</f>
        <v>1615850</v>
      </c>
      <c r="H58" s="31">
        <f>H56+H57</f>
        <v>1615850</v>
      </c>
      <c r="I58" s="31">
        <f t="shared" si="3"/>
        <v>4798100</v>
      </c>
    </row>
    <row r="60" spans="1:11">
      <c r="E60" s="35"/>
      <c r="F60" s="35"/>
    </row>
    <row r="62" spans="1:11">
      <c r="E62" s="36"/>
      <c r="F62" s="36"/>
      <c r="G62" s="36"/>
      <c r="H62" s="36"/>
    </row>
    <row r="63" spans="1:11">
      <c r="E63" s="36"/>
      <c r="F63" s="36"/>
      <c r="G63" s="36"/>
      <c r="H63" s="36"/>
    </row>
    <row r="64" spans="1:11">
      <c r="E64" s="36"/>
      <c r="F64" s="36"/>
      <c r="G64" s="36"/>
      <c r="H64" s="36"/>
    </row>
    <row r="65" spans="5:8">
      <c r="E65" s="36"/>
      <c r="F65" s="36"/>
      <c r="G65" s="36"/>
      <c r="H65" s="36"/>
    </row>
    <row r="66" spans="5:8">
      <c r="E66" s="36"/>
      <c r="F66" s="36"/>
      <c r="G66" s="36"/>
      <c r="H66" s="36"/>
    </row>
  </sheetData>
  <mergeCells count="51">
    <mergeCell ref="D24:F24"/>
    <mergeCell ref="B25:D25"/>
    <mergeCell ref="B57:D57"/>
    <mergeCell ref="B56:D56"/>
    <mergeCell ref="C29:D29"/>
    <mergeCell ref="B55:D55"/>
    <mergeCell ref="C28:D28"/>
    <mergeCell ref="C26:D26"/>
    <mergeCell ref="C27:D27"/>
    <mergeCell ref="C30:D30"/>
    <mergeCell ref="C31:D31"/>
    <mergeCell ref="C33:D33"/>
    <mergeCell ref="C32:D32"/>
    <mergeCell ref="C34:D34"/>
    <mergeCell ref="C45:D45"/>
    <mergeCell ref="C37:D37"/>
    <mergeCell ref="A6:B6"/>
    <mergeCell ref="C6:I6"/>
    <mergeCell ref="A7:B7"/>
    <mergeCell ref="C7:I7"/>
    <mergeCell ref="B18:C23"/>
    <mergeCell ref="A8:B8"/>
    <mergeCell ref="C8:I8"/>
    <mergeCell ref="A10:A11"/>
    <mergeCell ref="B10:C11"/>
    <mergeCell ref="D10:I10"/>
    <mergeCell ref="D16:I16"/>
    <mergeCell ref="A1:I1"/>
    <mergeCell ref="A2:B2"/>
    <mergeCell ref="C2:I2"/>
    <mergeCell ref="C44:D44"/>
    <mergeCell ref="A46:D46"/>
    <mergeCell ref="B16:C17"/>
    <mergeCell ref="A3:B3"/>
    <mergeCell ref="C3:I3"/>
    <mergeCell ref="C4:I4"/>
    <mergeCell ref="A4:B4"/>
    <mergeCell ref="C35:D35"/>
    <mergeCell ref="A12:A15"/>
    <mergeCell ref="B12:C15"/>
    <mergeCell ref="A18:A23"/>
    <mergeCell ref="A5:B5"/>
    <mergeCell ref="C5:I5"/>
    <mergeCell ref="A58:D58"/>
    <mergeCell ref="C36:D36"/>
    <mergeCell ref="C38:D38"/>
    <mergeCell ref="C43:D43"/>
    <mergeCell ref="C40:D40"/>
    <mergeCell ref="C39:D39"/>
    <mergeCell ref="C41:D41"/>
    <mergeCell ref="C42:D42"/>
  </mergeCells>
  <printOptions horizontalCentered="1"/>
  <pageMargins left="0" right="0" top="0" bottom="0.19685039370078741" header="0.51181102362204722" footer="0.51181102362204722"/>
  <pageSetup paperSize="9" scale="99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G11" sqref="G11"/>
    </sheetView>
  </sheetViews>
  <sheetFormatPr defaultColWidth="11.42578125" defaultRowHeight="12.75"/>
  <cols>
    <col min="1" max="1" width="11.42578125" style="1" customWidth="1"/>
    <col min="2" max="2" width="10" style="1" customWidth="1"/>
    <col min="3" max="3" width="17.140625" style="1" customWidth="1"/>
    <col min="4" max="4" width="26.28515625" style="1" customWidth="1"/>
    <col min="5" max="5" width="13" style="1" hidden="1" customWidth="1"/>
    <col min="6" max="6" width="14.28515625" style="1" customWidth="1"/>
    <col min="7" max="7" width="13.28515625" style="1" customWidth="1"/>
    <col min="8" max="8" width="12.85546875" style="1" customWidth="1"/>
    <col min="9" max="9" width="13.28515625" style="1" customWidth="1"/>
    <col min="10" max="16384" width="11.42578125" style="1"/>
  </cols>
  <sheetData>
    <row r="1" spans="1:9" ht="36" customHeight="1" thickBot="1">
      <c r="A1" s="162" t="s">
        <v>90</v>
      </c>
      <c r="B1" s="163"/>
      <c r="C1" s="163"/>
      <c r="D1" s="163"/>
      <c r="E1" s="163"/>
      <c r="F1" s="163"/>
      <c r="G1" s="163"/>
      <c r="H1" s="163"/>
      <c r="I1" s="164"/>
    </row>
    <row r="2" spans="1:9" ht="51">
      <c r="A2" s="2"/>
      <c r="B2" s="165" t="s">
        <v>83</v>
      </c>
      <c r="C2" s="165"/>
      <c r="D2" s="165"/>
      <c r="E2" s="5" t="s">
        <v>130</v>
      </c>
      <c r="F2" s="92" t="s">
        <v>156</v>
      </c>
      <c r="G2" s="92" t="s">
        <v>157</v>
      </c>
      <c r="H2" s="92" t="s">
        <v>158</v>
      </c>
      <c r="I2" s="92" t="s">
        <v>151</v>
      </c>
    </row>
    <row r="3" spans="1:9">
      <c r="A3" s="3">
        <v>1</v>
      </c>
      <c r="B3" s="4" t="s">
        <v>84</v>
      </c>
      <c r="C3" s="161" t="s">
        <v>85</v>
      </c>
      <c r="D3" s="161"/>
      <c r="E3" s="6">
        <v>340000</v>
      </c>
      <c r="F3" s="59">
        <v>387800</v>
      </c>
      <c r="G3" s="59">
        <v>406850</v>
      </c>
      <c r="H3" s="59">
        <v>406850</v>
      </c>
      <c r="I3" s="6">
        <f>SUM(F3:H3)</f>
        <v>1201500</v>
      </c>
    </row>
    <row r="4" spans="1:9">
      <c r="A4" s="3">
        <v>2</v>
      </c>
      <c r="B4" s="4" t="s">
        <v>84</v>
      </c>
      <c r="C4" s="161" t="s">
        <v>86</v>
      </c>
      <c r="D4" s="161"/>
      <c r="E4" s="6">
        <v>724000</v>
      </c>
      <c r="F4" s="59">
        <v>887000</v>
      </c>
      <c r="G4" s="59">
        <v>927000</v>
      </c>
      <c r="H4" s="59">
        <v>927000</v>
      </c>
      <c r="I4" s="6">
        <f t="shared" ref="I4:I6" si="0">SUM(F4:H4)</f>
        <v>2741000</v>
      </c>
    </row>
    <row r="5" spans="1:9">
      <c r="A5" s="3">
        <v>3</v>
      </c>
      <c r="B5" s="4" t="s">
        <v>84</v>
      </c>
      <c r="C5" s="161" t="s">
        <v>87</v>
      </c>
      <c r="D5" s="161"/>
      <c r="E5" s="6">
        <v>50000</v>
      </c>
      <c r="F5" s="6">
        <v>57700</v>
      </c>
      <c r="G5" s="6">
        <v>60000</v>
      </c>
      <c r="H5" s="6">
        <v>60000</v>
      </c>
      <c r="I5" s="6">
        <f>SUM(F5:H5)</f>
        <v>177700</v>
      </c>
    </row>
    <row r="6" spans="1:9">
      <c r="A6" s="3">
        <v>4</v>
      </c>
      <c r="B6" s="4" t="s">
        <v>84</v>
      </c>
      <c r="C6" s="161" t="s">
        <v>88</v>
      </c>
      <c r="D6" s="161"/>
      <c r="E6" s="6">
        <v>146300</v>
      </c>
      <c r="F6" s="59">
        <v>233900</v>
      </c>
      <c r="G6" s="59">
        <v>222000</v>
      </c>
      <c r="H6" s="59">
        <v>222000</v>
      </c>
      <c r="I6" s="6">
        <f t="shared" si="0"/>
        <v>677900</v>
      </c>
    </row>
    <row r="7" spans="1:9">
      <c r="A7" s="160" t="s">
        <v>89</v>
      </c>
      <c r="B7" s="160"/>
      <c r="C7" s="160"/>
      <c r="D7" s="160"/>
      <c r="E7" s="60">
        <f>SUM(E3:E6)</f>
        <v>1260300</v>
      </c>
      <c r="F7" s="60">
        <f t="shared" ref="F7:I7" si="1">SUM(F3:F6)</f>
        <v>1566400</v>
      </c>
      <c r="G7" s="60">
        <f t="shared" si="1"/>
        <v>1615850</v>
      </c>
      <c r="H7" s="60">
        <f t="shared" ref="H7" si="2">SUM(H3:H6)</f>
        <v>1615850</v>
      </c>
      <c r="I7" s="60">
        <f t="shared" si="1"/>
        <v>4798100</v>
      </c>
    </row>
  </sheetData>
  <mergeCells count="7">
    <mergeCell ref="A7:D7"/>
    <mergeCell ref="C6:D6"/>
    <mergeCell ref="A1:I1"/>
    <mergeCell ref="B2:D2"/>
    <mergeCell ref="C3:D3"/>
    <mergeCell ref="C4:D4"/>
    <mergeCell ref="C5:D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view="pageBreakPreview" topLeftCell="C10" zoomScale="120" zoomScaleNormal="106" zoomScaleSheetLayoutView="120" workbookViewId="0">
      <selection activeCell="H26" sqref="H26"/>
    </sheetView>
  </sheetViews>
  <sheetFormatPr defaultColWidth="8.85546875" defaultRowHeight="11.25"/>
  <cols>
    <col min="1" max="1" width="6.7109375" style="37" customWidth="1"/>
    <col min="2" max="2" width="17" style="55" customWidth="1"/>
    <col min="3" max="3" width="28.28515625" style="55" customWidth="1"/>
    <col min="4" max="4" width="34.7109375" style="37" customWidth="1"/>
    <col min="5" max="5" width="10.85546875" style="37" hidden="1" customWidth="1"/>
    <col min="6" max="6" width="10.7109375" style="37" customWidth="1"/>
    <col min="7" max="7" width="10.42578125" style="37" customWidth="1"/>
    <col min="8" max="8" width="11.42578125" style="37" customWidth="1"/>
    <col min="9" max="9" width="23.140625" style="37" customWidth="1"/>
    <col min="10" max="16384" width="8.85546875" style="37"/>
  </cols>
  <sheetData>
    <row r="1" spans="1:9" ht="12" thickBot="1">
      <c r="A1" s="104" t="s">
        <v>121</v>
      </c>
      <c r="B1" s="105"/>
      <c r="C1" s="105"/>
      <c r="D1" s="105"/>
      <c r="E1" s="105"/>
      <c r="F1" s="105"/>
      <c r="G1" s="105"/>
      <c r="H1" s="105"/>
      <c r="I1" s="106"/>
    </row>
    <row r="2" spans="1:9" s="68" customFormat="1" ht="15" customHeight="1">
      <c r="A2" s="178" t="s">
        <v>91</v>
      </c>
      <c r="B2" s="179"/>
      <c r="C2" s="180" t="s">
        <v>12</v>
      </c>
      <c r="D2" s="180"/>
      <c r="E2" s="180"/>
      <c r="F2" s="180"/>
      <c r="G2" s="180"/>
      <c r="H2" s="180"/>
      <c r="I2" s="181"/>
    </row>
    <row r="3" spans="1:9" s="68" customFormat="1" ht="12">
      <c r="A3" s="121" t="s">
        <v>62</v>
      </c>
      <c r="B3" s="166"/>
      <c r="C3" s="167" t="s">
        <v>37</v>
      </c>
      <c r="D3" s="167"/>
      <c r="E3" s="167"/>
      <c r="F3" s="167"/>
      <c r="G3" s="167"/>
      <c r="H3" s="167"/>
      <c r="I3" s="168"/>
    </row>
    <row r="4" spans="1:9" s="68" customFormat="1">
      <c r="A4" s="121" t="s">
        <v>64</v>
      </c>
      <c r="B4" s="166"/>
      <c r="C4" s="109" t="s">
        <v>142</v>
      </c>
      <c r="D4" s="109"/>
      <c r="E4" s="109"/>
      <c r="F4" s="109"/>
      <c r="G4" s="109"/>
      <c r="H4" s="109"/>
      <c r="I4" s="110"/>
    </row>
    <row r="5" spans="1:9" s="68" customFormat="1" ht="12">
      <c r="A5" s="121" t="s">
        <v>13</v>
      </c>
      <c r="B5" s="166"/>
      <c r="C5" s="167" t="s">
        <v>92</v>
      </c>
      <c r="D5" s="167"/>
      <c r="E5" s="167"/>
      <c r="F5" s="167"/>
      <c r="G5" s="167"/>
      <c r="H5" s="167"/>
      <c r="I5" s="168"/>
    </row>
    <row r="6" spans="1:9" s="68" customFormat="1" ht="24" customHeight="1">
      <c r="A6" s="121" t="s">
        <v>15</v>
      </c>
      <c r="B6" s="166"/>
      <c r="C6" s="109" t="s">
        <v>144</v>
      </c>
      <c r="D6" s="109"/>
      <c r="E6" s="109"/>
      <c r="F6" s="109"/>
      <c r="G6" s="109"/>
      <c r="H6" s="109"/>
      <c r="I6" s="110"/>
    </row>
    <row r="7" spans="1:9" s="68" customFormat="1" ht="27.95" customHeight="1">
      <c r="A7" s="121" t="s">
        <v>16</v>
      </c>
      <c r="B7" s="166"/>
      <c r="C7" s="109" t="s">
        <v>93</v>
      </c>
      <c r="D7" s="109"/>
      <c r="E7" s="109"/>
      <c r="F7" s="109"/>
      <c r="G7" s="109"/>
      <c r="H7" s="109"/>
      <c r="I7" s="110"/>
    </row>
    <row r="8" spans="1:9" s="68" customFormat="1" ht="32.25" customHeight="1" thickBot="1">
      <c r="A8" s="117" t="s">
        <v>94</v>
      </c>
      <c r="B8" s="169"/>
      <c r="C8" s="170" t="s">
        <v>143</v>
      </c>
      <c r="D8" s="170"/>
      <c r="E8" s="170"/>
      <c r="F8" s="170"/>
      <c r="G8" s="170"/>
      <c r="H8" s="170"/>
      <c r="I8" s="171"/>
    </row>
    <row r="9" spans="1:9">
      <c r="A9" s="38"/>
      <c r="B9" s="39"/>
      <c r="C9" s="40"/>
      <c r="D9" s="38"/>
      <c r="E9" s="38"/>
      <c r="F9" s="38"/>
    </row>
    <row r="10" spans="1:9">
      <c r="A10" s="172"/>
      <c r="B10" s="174" t="s">
        <v>20</v>
      </c>
      <c r="C10" s="175"/>
      <c r="D10" s="98" t="s">
        <v>68</v>
      </c>
      <c r="E10" s="98"/>
      <c r="F10" s="98"/>
      <c r="G10" s="98"/>
      <c r="H10" s="98"/>
      <c r="I10" s="98"/>
    </row>
    <row r="11" spans="1:9" ht="42">
      <c r="A11" s="173"/>
      <c r="B11" s="176"/>
      <c r="C11" s="177"/>
      <c r="D11" s="41" t="s">
        <v>22</v>
      </c>
      <c r="E11" s="61" t="s">
        <v>136</v>
      </c>
      <c r="F11" s="61" t="s">
        <v>147</v>
      </c>
      <c r="G11" s="61" t="s">
        <v>134</v>
      </c>
      <c r="H11" s="61" t="s">
        <v>148</v>
      </c>
      <c r="I11" s="42" t="s">
        <v>25</v>
      </c>
    </row>
    <row r="12" spans="1:9" ht="45">
      <c r="A12" s="125">
        <v>1</v>
      </c>
      <c r="B12" s="123" t="s">
        <v>95</v>
      </c>
      <c r="C12" s="123"/>
      <c r="D12" s="62" t="s">
        <v>96</v>
      </c>
      <c r="E12" s="63" t="s">
        <v>97</v>
      </c>
      <c r="F12" s="63" t="s">
        <v>98</v>
      </c>
      <c r="G12" s="63" t="s">
        <v>98</v>
      </c>
      <c r="H12" s="63" t="s">
        <v>98</v>
      </c>
      <c r="I12" s="47" t="s">
        <v>99</v>
      </c>
    </row>
    <row r="13" spans="1:9" ht="33.75">
      <c r="A13" s="125"/>
      <c r="B13" s="123"/>
      <c r="C13" s="123"/>
      <c r="D13" s="62" t="s">
        <v>140</v>
      </c>
      <c r="E13" s="45">
        <v>1350</v>
      </c>
      <c r="F13" s="45">
        <v>1400</v>
      </c>
      <c r="G13" s="45">
        <v>1400</v>
      </c>
      <c r="H13" s="45">
        <v>1400</v>
      </c>
      <c r="I13" s="47" t="s">
        <v>99</v>
      </c>
    </row>
    <row r="14" spans="1:9" ht="33.75">
      <c r="A14" s="125"/>
      <c r="B14" s="123"/>
      <c r="C14" s="123"/>
      <c r="D14" s="62" t="s">
        <v>100</v>
      </c>
      <c r="E14" s="45">
        <v>58</v>
      </c>
      <c r="F14" s="45">
        <v>63</v>
      </c>
      <c r="G14" s="45">
        <v>64</v>
      </c>
      <c r="H14" s="45">
        <v>65</v>
      </c>
      <c r="I14" s="47" t="s">
        <v>99</v>
      </c>
    </row>
    <row r="15" spans="1:9" ht="22.5">
      <c r="A15" s="125"/>
      <c r="B15" s="123"/>
      <c r="C15" s="123"/>
      <c r="D15" s="62" t="s">
        <v>101</v>
      </c>
      <c r="E15" s="44" t="s">
        <v>0</v>
      </c>
      <c r="F15" s="44" t="s">
        <v>1</v>
      </c>
      <c r="G15" s="44" t="s">
        <v>6</v>
      </c>
      <c r="H15" s="44" t="s">
        <v>7</v>
      </c>
      <c r="I15" s="62" t="s">
        <v>73</v>
      </c>
    </row>
    <row r="16" spans="1:9">
      <c r="A16" s="48"/>
      <c r="B16" s="48"/>
      <c r="C16" s="48"/>
      <c r="D16" s="184"/>
      <c r="E16" s="184"/>
      <c r="F16" s="184"/>
      <c r="G16" s="49"/>
    </row>
    <row r="17" spans="1:9" ht="42">
      <c r="A17" s="50"/>
      <c r="B17" s="98" t="s">
        <v>102</v>
      </c>
      <c r="C17" s="98"/>
      <c r="D17" s="98"/>
      <c r="E17" s="42" t="s">
        <v>130</v>
      </c>
      <c r="F17" s="89" t="s">
        <v>156</v>
      </c>
      <c r="G17" s="89" t="s">
        <v>131</v>
      </c>
      <c r="H17" s="89" t="s">
        <v>158</v>
      </c>
      <c r="I17" s="89" t="s">
        <v>151</v>
      </c>
    </row>
    <row r="18" spans="1:9" s="66" customFormat="1">
      <c r="A18" s="51">
        <v>1</v>
      </c>
      <c r="B18" s="64">
        <v>412500</v>
      </c>
      <c r="C18" s="99" t="s">
        <v>103</v>
      </c>
      <c r="D18" s="99"/>
      <c r="E18" s="65">
        <v>75000</v>
      </c>
      <c r="F18" s="65">
        <v>100000</v>
      </c>
      <c r="G18" s="65">
        <v>100000</v>
      </c>
      <c r="H18" s="65">
        <v>100000</v>
      </c>
      <c r="I18" s="65">
        <f>SUM(F18:H18)</f>
        <v>300000</v>
      </c>
    </row>
    <row r="19" spans="1:9">
      <c r="A19" s="101" t="s">
        <v>39</v>
      </c>
      <c r="B19" s="102"/>
      <c r="C19" s="102"/>
      <c r="D19" s="103"/>
      <c r="E19" s="67">
        <f>+E18</f>
        <v>75000</v>
      </c>
      <c r="F19" s="67">
        <f>+F18</f>
        <v>100000</v>
      </c>
      <c r="G19" s="67">
        <f>+G18</f>
        <v>100000</v>
      </c>
      <c r="H19" s="67">
        <f>+H18</f>
        <v>100000</v>
      </c>
      <c r="I19" s="67">
        <f t="shared" ref="I19" si="0">SUM(F19:H19)</f>
        <v>300000</v>
      </c>
    </row>
    <row r="20" spans="1:9">
      <c r="E20" s="53"/>
      <c r="F20" s="53"/>
      <c r="G20" s="49"/>
    </row>
    <row r="21" spans="1:9" ht="42">
      <c r="A21" s="50"/>
      <c r="B21" s="98" t="s">
        <v>40</v>
      </c>
      <c r="C21" s="98"/>
      <c r="D21" s="98"/>
      <c r="E21" s="42" t="s">
        <v>132</v>
      </c>
      <c r="F21" s="89" t="s">
        <v>104</v>
      </c>
      <c r="G21" s="89" t="s">
        <v>133</v>
      </c>
      <c r="H21" s="89" t="s">
        <v>159</v>
      </c>
      <c r="I21" s="89" t="s">
        <v>151</v>
      </c>
    </row>
    <row r="22" spans="1:9" ht="17.25" customHeight="1">
      <c r="A22" s="51">
        <v>1</v>
      </c>
      <c r="B22" s="100" t="s">
        <v>42</v>
      </c>
      <c r="C22" s="182"/>
      <c r="D22" s="183"/>
      <c r="E22" s="65">
        <v>75000</v>
      </c>
      <c r="F22" s="65">
        <v>100000</v>
      </c>
      <c r="G22" s="65">
        <v>100000</v>
      </c>
      <c r="H22" s="65">
        <v>100000</v>
      </c>
      <c r="I22" s="65">
        <f>SUM(F22:H22)</f>
        <v>300000</v>
      </c>
    </row>
    <row r="23" spans="1:9" ht="18" customHeight="1">
      <c r="A23" s="101" t="s">
        <v>39</v>
      </c>
      <c r="B23" s="102"/>
      <c r="C23" s="102"/>
      <c r="D23" s="103"/>
      <c r="E23" s="67">
        <f>+E22</f>
        <v>75000</v>
      </c>
      <c r="F23" s="67">
        <f>+F22</f>
        <v>100000</v>
      </c>
      <c r="G23" s="67">
        <f t="shared" ref="G23:H23" si="1">+G22</f>
        <v>100000</v>
      </c>
      <c r="H23" s="67">
        <f t="shared" si="1"/>
        <v>100000</v>
      </c>
      <c r="I23" s="67">
        <f t="shared" ref="I23" si="2">SUM(F23:H23)</f>
        <v>300000</v>
      </c>
    </row>
  </sheetData>
  <mergeCells count="27">
    <mergeCell ref="B22:D22"/>
    <mergeCell ref="D16:F16"/>
    <mergeCell ref="B17:D17"/>
    <mergeCell ref="C18:D18"/>
    <mergeCell ref="B21:D21"/>
    <mergeCell ref="A19:D19"/>
    <mergeCell ref="A1:I1"/>
    <mergeCell ref="A2:B2"/>
    <mergeCell ref="C2:I2"/>
    <mergeCell ref="A3:B3"/>
    <mergeCell ref="C3:I3"/>
    <mergeCell ref="A23:D23"/>
    <mergeCell ref="A4:B4"/>
    <mergeCell ref="C4:I4"/>
    <mergeCell ref="B12:C15"/>
    <mergeCell ref="A12:A15"/>
    <mergeCell ref="A5:B5"/>
    <mergeCell ref="C5:I5"/>
    <mergeCell ref="A6:B6"/>
    <mergeCell ref="C6:I6"/>
    <mergeCell ref="A7:B7"/>
    <mergeCell ref="C7:I7"/>
    <mergeCell ref="A8:B8"/>
    <mergeCell ref="C8:I8"/>
    <mergeCell ref="A10:A11"/>
    <mergeCell ref="B10:C11"/>
    <mergeCell ref="D10:I10"/>
  </mergeCells>
  <printOptions horizontalCentered="1"/>
  <pageMargins left="0.39370078740157483" right="0.31496062992125984" top="0.98425196850393704" bottom="0.98425196850393704" header="0.51181102362204722" footer="0.51181102362204722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9"/>
  <sheetViews>
    <sheetView view="pageBreakPreview" zoomScale="60" zoomScaleNormal="118" workbookViewId="0">
      <selection activeCell="K31" sqref="K31"/>
    </sheetView>
  </sheetViews>
  <sheetFormatPr defaultColWidth="11.42578125" defaultRowHeight="15"/>
  <cols>
    <col min="1" max="1" width="7.28515625" style="71" customWidth="1"/>
    <col min="2" max="2" width="16.42578125" style="71" customWidth="1"/>
    <col min="3" max="3" width="17.140625" style="71" customWidth="1"/>
    <col min="4" max="4" width="20.7109375" style="71" customWidth="1"/>
    <col min="5" max="5" width="11.42578125" style="71" hidden="1" customWidth="1"/>
    <col min="6" max="6" width="11.7109375" style="71" customWidth="1"/>
    <col min="7" max="7" width="12.42578125" style="71" customWidth="1"/>
    <col min="8" max="8" width="11.7109375" style="71" customWidth="1"/>
    <col min="9" max="9" width="13" style="71" customWidth="1"/>
    <col min="10" max="16384" width="11.42578125" style="71"/>
  </cols>
  <sheetData>
    <row r="1" spans="1:15" ht="27" customHeight="1" thickBot="1">
      <c r="A1" s="185" t="s">
        <v>90</v>
      </c>
      <c r="B1" s="186"/>
      <c r="C1" s="186"/>
      <c r="D1" s="186"/>
      <c r="E1" s="186"/>
      <c r="F1" s="186"/>
      <c r="G1" s="186"/>
      <c r="H1" s="186"/>
      <c r="I1" s="187"/>
    </row>
    <row r="2" spans="1:15" ht="60">
      <c r="A2" s="72"/>
      <c r="B2" s="188" t="s">
        <v>105</v>
      </c>
      <c r="C2" s="188"/>
      <c r="D2" s="188"/>
      <c r="E2" s="73" t="s">
        <v>130</v>
      </c>
      <c r="F2" s="73" t="s">
        <v>156</v>
      </c>
      <c r="G2" s="93" t="s">
        <v>157</v>
      </c>
      <c r="H2" s="93" t="s">
        <v>158</v>
      </c>
      <c r="I2" s="93" t="s">
        <v>151</v>
      </c>
    </row>
    <row r="3" spans="1:15" s="78" customFormat="1" ht="141.75" customHeight="1">
      <c r="A3" s="75">
        <v>1</v>
      </c>
      <c r="B3" s="76" t="s">
        <v>84</v>
      </c>
      <c r="C3" s="189" t="s">
        <v>106</v>
      </c>
      <c r="D3" s="190"/>
      <c r="E3" s="77">
        <v>47300</v>
      </c>
      <c r="F3" s="77">
        <v>48000</v>
      </c>
      <c r="G3" s="77">
        <v>60850</v>
      </c>
      <c r="H3" s="77">
        <v>60850</v>
      </c>
      <c r="I3" s="70">
        <f>SUM(F3:H3)</f>
        <v>169700</v>
      </c>
    </row>
    <row r="4" spans="1:15" s="78" customFormat="1" ht="159.75" customHeight="1">
      <c r="A4" s="75">
        <v>2</v>
      </c>
      <c r="B4" s="76" t="s">
        <v>84</v>
      </c>
      <c r="C4" s="189" t="s">
        <v>107</v>
      </c>
      <c r="D4" s="190"/>
      <c r="E4" s="77">
        <v>27700</v>
      </c>
      <c r="F4" s="77">
        <v>52000</v>
      </c>
      <c r="G4" s="77">
        <v>39150</v>
      </c>
      <c r="H4" s="77">
        <v>39150</v>
      </c>
      <c r="I4" s="70">
        <f>SUM(F4:H4)</f>
        <v>130300</v>
      </c>
      <c r="O4" s="86"/>
    </row>
    <row r="5" spans="1:15" ht="15.75">
      <c r="A5" s="191" t="s">
        <v>89</v>
      </c>
      <c r="B5" s="191"/>
      <c r="C5" s="191"/>
      <c r="D5" s="191"/>
      <c r="E5" s="79">
        <f>SUM(E1:E4)</f>
        <v>75000</v>
      </c>
      <c r="F5" s="80">
        <f t="shared" ref="F5:I5" si="0">SUM(F1:F4)</f>
        <v>100000</v>
      </c>
      <c r="G5" s="79">
        <f t="shared" si="0"/>
        <v>100000</v>
      </c>
      <c r="H5" s="79">
        <f t="shared" si="0"/>
        <v>100000</v>
      </c>
      <c r="I5" s="80">
        <f t="shared" si="0"/>
        <v>300000</v>
      </c>
    </row>
    <row r="9" spans="1:15">
      <c r="H9" s="81"/>
    </row>
  </sheetData>
  <mergeCells count="5">
    <mergeCell ref="A1:I1"/>
    <mergeCell ref="B2:D2"/>
    <mergeCell ref="C3:D3"/>
    <mergeCell ref="C4:D4"/>
    <mergeCell ref="A5:D5"/>
  </mergeCells>
  <printOptions horizontalCentered="1"/>
  <pageMargins left="0.11811023622047245" right="0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2"/>
  <sheetViews>
    <sheetView tabSelected="1" view="pageBreakPreview" zoomScale="120" zoomScaleNormal="116" zoomScaleSheetLayoutView="120" workbookViewId="0">
      <selection activeCell="D28" sqref="D28"/>
    </sheetView>
  </sheetViews>
  <sheetFormatPr defaultColWidth="8.85546875" defaultRowHeight="11.25"/>
  <cols>
    <col min="1" max="1" width="6.7109375" style="7" customWidth="1"/>
    <col min="2" max="2" width="17" style="33" customWidth="1"/>
    <col min="3" max="3" width="28.28515625" style="33" customWidth="1"/>
    <col min="4" max="4" width="22.28515625" style="7" customWidth="1"/>
    <col min="5" max="5" width="9.42578125" style="7" hidden="1" customWidth="1"/>
    <col min="6" max="6" width="9.7109375" style="7" customWidth="1"/>
    <col min="7" max="7" width="9.42578125" style="7" customWidth="1"/>
    <col min="8" max="8" width="9.28515625" style="7" customWidth="1"/>
    <col min="9" max="9" width="21.7109375" style="7" customWidth="1"/>
    <col min="10" max="16384" width="8.85546875" style="7"/>
  </cols>
  <sheetData>
    <row r="1" spans="1:9" ht="12" thickBot="1">
      <c r="A1" s="131" t="s">
        <v>120</v>
      </c>
      <c r="B1" s="132"/>
      <c r="C1" s="132"/>
      <c r="D1" s="132"/>
      <c r="E1" s="132"/>
      <c r="F1" s="132"/>
      <c r="G1" s="132"/>
      <c r="H1" s="132"/>
      <c r="I1" s="133"/>
    </row>
    <row r="2" spans="1:9" s="8" customFormat="1">
      <c r="A2" s="134" t="s">
        <v>61</v>
      </c>
      <c r="B2" s="135"/>
      <c r="C2" s="192" t="s">
        <v>12</v>
      </c>
      <c r="D2" s="192"/>
      <c r="E2" s="192"/>
      <c r="F2" s="192"/>
      <c r="G2" s="192"/>
      <c r="H2" s="192"/>
      <c r="I2" s="193"/>
    </row>
    <row r="3" spans="1:9" s="8" customFormat="1">
      <c r="A3" s="139" t="s">
        <v>62</v>
      </c>
      <c r="B3" s="140"/>
      <c r="C3" s="194" t="s">
        <v>38</v>
      </c>
      <c r="D3" s="194"/>
      <c r="E3" s="194"/>
      <c r="F3" s="194"/>
      <c r="G3" s="194"/>
      <c r="H3" s="194"/>
      <c r="I3" s="195"/>
    </row>
    <row r="4" spans="1:9" s="8" customFormat="1">
      <c r="A4" s="145" t="s">
        <v>19</v>
      </c>
      <c r="B4" s="140"/>
      <c r="C4" s="150" t="s">
        <v>108</v>
      </c>
      <c r="D4" s="150"/>
      <c r="E4" s="150"/>
      <c r="F4" s="150"/>
      <c r="G4" s="150"/>
      <c r="H4" s="150"/>
      <c r="I4" s="151"/>
    </row>
    <row r="5" spans="1:9" s="8" customFormat="1">
      <c r="A5" s="139" t="s">
        <v>13</v>
      </c>
      <c r="B5" s="140"/>
      <c r="C5" s="196" t="s">
        <v>109</v>
      </c>
      <c r="D5" s="196"/>
      <c r="E5" s="196"/>
      <c r="F5" s="196"/>
      <c r="G5" s="196"/>
      <c r="H5" s="196"/>
      <c r="I5" s="197"/>
    </row>
    <row r="6" spans="1:9" s="8" customFormat="1" ht="36" customHeight="1">
      <c r="A6" s="139" t="s">
        <v>15</v>
      </c>
      <c r="B6" s="140"/>
      <c r="C6" s="150" t="s">
        <v>144</v>
      </c>
      <c r="D6" s="150"/>
      <c r="E6" s="150"/>
      <c r="F6" s="150"/>
      <c r="G6" s="150"/>
      <c r="H6" s="150"/>
      <c r="I6" s="151"/>
    </row>
    <row r="7" spans="1:9" s="8" customFormat="1" ht="25.5" customHeight="1">
      <c r="A7" s="139" t="s">
        <v>16</v>
      </c>
      <c r="B7" s="140"/>
      <c r="C7" s="150" t="s">
        <v>110</v>
      </c>
      <c r="D7" s="150"/>
      <c r="E7" s="150"/>
      <c r="F7" s="150"/>
      <c r="G7" s="150"/>
      <c r="H7" s="150"/>
      <c r="I7" s="151"/>
    </row>
    <row r="8" spans="1:9" s="8" customFormat="1" ht="38.25" customHeight="1" thickBot="1">
      <c r="A8" s="152" t="s">
        <v>67</v>
      </c>
      <c r="B8" s="153"/>
      <c r="C8" s="198" t="s">
        <v>162</v>
      </c>
      <c r="D8" s="198"/>
      <c r="E8" s="198"/>
      <c r="F8" s="198"/>
      <c r="G8" s="198"/>
      <c r="H8" s="198"/>
      <c r="I8" s="199"/>
    </row>
    <row r="9" spans="1:9">
      <c r="A9" s="9"/>
      <c r="B9" s="10"/>
      <c r="C9" s="11"/>
      <c r="D9" s="9"/>
      <c r="E9" s="9"/>
      <c r="F9" s="9"/>
    </row>
    <row r="10" spans="1:9">
      <c r="A10" s="156"/>
      <c r="B10" s="138" t="s">
        <v>20</v>
      </c>
      <c r="C10" s="138"/>
      <c r="D10" s="138" t="s">
        <v>68</v>
      </c>
      <c r="E10" s="138"/>
      <c r="F10" s="138"/>
      <c r="G10" s="138"/>
      <c r="H10" s="138"/>
      <c r="I10" s="138"/>
    </row>
    <row r="11" spans="1:9" ht="52.5">
      <c r="A11" s="156"/>
      <c r="B11" s="138"/>
      <c r="C11" s="138"/>
      <c r="D11" s="12"/>
      <c r="E11" s="12" t="s">
        <v>136</v>
      </c>
      <c r="F11" s="90" t="s">
        <v>24</v>
      </c>
      <c r="G11" s="90" t="s">
        <v>134</v>
      </c>
      <c r="H11" s="90" t="s">
        <v>148</v>
      </c>
      <c r="I11" s="12" t="s">
        <v>25</v>
      </c>
    </row>
    <row r="12" spans="1:9" ht="33.75">
      <c r="A12" s="146">
        <v>1</v>
      </c>
      <c r="B12" s="147" t="s">
        <v>111</v>
      </c>
      <c r="C12" s="147"/>
      <c r="D12" s="16" t="s">
        <v>112</v>
      </c>
      <c r="E12" s="69">
        <v>8</v>
      </c>
      <c r="F12" s="21">
        <v>15</v>
      </c>
      <c r="G12" s="21">
        <v>15</v>
      </c>
      <c r="H12" s="21">
        <v>15</v>
      </c>
      <c r="I12" s="16" t="s">
        <v>113</v>
      </c>
    </row>
    <row r="13" spans="1:9" ht="33.75">
      <c r="A13" s="146"/>
      <c r="B13" s="147"/>
      <c r="C13" s="147"/>
      <c r="D13" s="16" t="s">
        <v>114</v>
      </c>
      <c r="E13" s="21">
        <v>8500</v>
      </c>
      <c r="F13" s="21">
        <v>5000</v>
      </c>
      <c r="G13" s="21">
        <v>9000</v>
      </c>
      <c r="H13" s="21">
        <v>9000</v>
      </c>
      <c r="I13" s="16" t="s">
        <v>115</v>
      </c>
    </row>
    <row r="14" spans="1:9">
      <c r="A14" s="19"/>
      <c r="B14" s="19"/>
      <c r="C14" s="19"/>
      <c r="D14" s="157"/>
      <c r="E14" s="157"/>
      <c r="F14" s="157"/>
      <c r="G14" s="24"/>
    </row>
    <row r="15" spans="1:9" ht="31.5">
      <c r="A15" s="25"/>
      <c r="B15" s="138" t="s">
        <v>44</v>
      </c>
      <c r="C15" s="138"/>
      <c r="D15" s="138"/>
      <c r="E15" s="13" t="s">
        <v>124</v>
      </c>
      <c r="F15" s="90" t="s">
        <v>149</v>
      </c>
      <c r="G15" s="90" t="s">
        <v>125</v>
      </c>
      <c r="H15" s="90" t="s">
        <v>150</v>
      </c>
      <c r="I15" s="90" t="s">
        <v>151</v>
      </c>
    </row>
    <row r="16" spans="1:9" s="30" customFormat="1">
      <c r="A16" s="27">
        <v>1</v>
      </c>
      <c r="B16" s="28">
        <v>412700</v>
      </c>
      <c r="C16" s="129" t="s">
        <v>54</v>
      </c>
      <c r="D16" s="129"/>
      <c r="E16" s="29">
        <v>15000</v>
      </c>
      <c r="F16" s="29">
        <v>25000</v>
      </c>
      <c r="G16" s="29">
        <v>30000</v>
      </c>
      <c r="H16" s="29">
        <v>30000</v>
      </c>
      <c r="I16" s="29">
        <f>SUM(F16:H16)</f>
        <v>85000</v>
      </c>
    </row>
    <row r="17" spans="1:9" s="30" customFormat="1">
      <c r="A17" s="27">
        <v>2</v>
      </c>
      <c r="B17" s="28">
        <v>412900</v>
      </c>
      <c r="C17" s="129" t="s">
        <v>55</v>
      </c>
      <c r="D17" s="129"/>
      <c r="E17" s="29">
        <v>55000</v>
      </c>
      <c r="F17" s="29">
        <v>35000</v>
      </c>
      <c r="G17" s="29">
        <v>40000</v>
      </c>
      <c r="H17" s="29">
        <v>40000</v>
      </c>
      <c r="I17" s="29">
        <f t="shared" ref="I17:I18" si="0">SUM(F17:H17)</f>
        <v>115000</v>
      </c>
    </row>
    <row r="18" spans="1:9">
      <c r="A18" s="101" t="s">
        <v>39</v>
      </c>
      <c r="B18" s="102"/>
      <c r="C18" s="102"/>
      <c r="D18" s="103"/>
      <c r="E18" s="67">
        <f>+E16+E17</f>
        <v>70000</v>
      </c>
      <c r="F18" s="67">
        <f>+F16+F17</f>
        <v>60000</v>
      </c>
      <c r="G18" s="67">
        <f>+G16+G17</f>
        <v>70000</v>
      </c>
      <c r="H18" s="67">
        <f>+H16+H17</f>
        <v>70000</v>
      </c>
      <c r="I18" s="67">
        <f t="shared" si="0"/>
        <v>200000</v>
      </c>
    </row>
    <row r="19" spans="1:9">
      <c r="E19" s="34"/>
      <c r="F19" s="34"/>
      <c r="G19" s="24"/>
    </row>
    <row r="20" spans="1:9" ht="31.5">
      <c r="A20" s="25"/>
      <c r="B20" s="138" t="s">
        <v>40</v>
      </c>
      <c r="C20" s="138"/>
      <c r="D20" s="138"/>
      <c r="E20" s="13" t="s">
        <v>128</v>
      </c>
      <c r="F20" s="90" t="s">
        <v>160</v>
      </c>
      <c r="G20" s="90" t="s">
        <v>129</v>
      </c>
      <c r="H20" s="90" t="s">
        <v>161</v>
      </c>
      <c r="I20" s="90" t="s">
        <v>151</v>
      </c>
    </row>
    <row r="21" spans="1:9">
      <c r="A21" s="27">
        <v>1</v>
      </c>
      <c r="B21" s="200" t="s">
        <v>42</v>
      </c>
      <c r="C21" s="201"/>
      <c r="D21" s="202"/>
      <c r="E21" s="29">
        <f>+E18</f>
        <v>70000</v>
      </c>
      <c r="F21" s="29">
        <f>+F18</f>
        <v>60000</v>
      </c>
      <c r="G21" s="29">
        <v>70000</v>
      </c>
      <c r="H21" s="29">
        <v>70000</v>
      </c>
      <c r="I21" s="29">
        <f>SUM(F21:H21)</f>
        <v>200000</v>
      </c>
    </row>
    <row r="22" spans="1:9">
      <c r="A22" s="101" t="s">
        <v>39</v>
      </c>
      <c r="B22" s="102"/>
      <c r="C22" s="102"/>
      <c r="D22" s="103"/>
      <c r="E22" s="67">
        <f>+E21</f>
        <v>70000</v>
      </c>
      <c r="F22" s="67">
        <f>+F21</f>
        <v>60000</v>
      </c>
      <c r="G22" s="67">
        <f t="shared" ref="G22:H22" si="1">+G21</f>
        <v>70000</v>
      </c>
      <c r="H22" s="67">
        <f t="shared" si="1"/>
        <v>70000</v>
      </c>
      <c r="I22" s="67">
        <f t="shared" ref="I22" si="2">SUM(F22:H22)</f>
        <v>200000</v>
      </c>
    </row>
  </sheetData>
  <mergeCells count="28">
    <mergeCell ref="B21:D21"/>
    <mergeCell ref="D14:F14"/>
    <mergeCell ref="B15:D15"/>
    <mergeCell ref="C16:D16"/>
    <mergeCell ref="C17:D17"/>
    <mergeCell ref="B20:D20"/>
    <mergeCell ref="A18:D18"/>
    <mergeCell ref="A8:B8"/>
    <mergeCell ref="C8:I8"/>
    <mergeCell ref="A10:A11"/>
    <mergeCell ref="B10:C11"/>
    <mergeCell ref="D10:I10"/>
    <mergeCell ref="A22:D22"/>
    <mergeCell ref="A4:B4"/>
    <mergeCell ref="C4:I4"/>
    <mergeCell ref="A1:I1"/>
    <mergeCell ref="A2:B2"/>
    <mergeCell ref="C2:I2"/>
    <mergeCell ref="A3:B3"/>
    <mergeCell ref="C3:I3"/>
    <mergeCell ref="A12:A13"/>
    <mergeCell ref="B12:C13"/>
    <mergeCell ref="A5:B5"/>
    <mergeCell ref="C5:I5"/>
    <mergeCell ref="A6:B6"/>
    <mergeCell ref="C6:I6"/>
    <mergeCell ref="A7:B7"/>
    <mergeCell ref="C7:I7"/>
  </mergeCells>
  <printOptions horizontalCentered="1"/>
  <pageMargins left="0" right="0" top="0" bottom="0.1968503937007874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"/>
  <sheetViews>
    <sheetView view="pageBreakPreview" zoomScale="60" zoomScaleNormal="116" workbookViewId="0">
      <selection activeCell="L44" sqref="L44"/>
    </sheetView>
  </sheetViews>
  <sheetFormatPr defaultColWidth="11.42578125" defaultRowHeight="15"/>
  <cols>
    <col min="1" max="1" width="11.42578125" style="71"/>
    <col min="2" max="2" width="11.7109375" style="71" customWidth="1"/>
    <col min="3" max="3" width="17.140625" style="71" customWidth="1"/>
    <col min="4" max="4" width="24" style="71" customWidth="1"/>
    <col min="5" max="5" width="0" style="71" hidden="1" customWidth="1"/>
    <col min="6" max="16384" width="11.42578125" style="71"/>
  </cols>
  <sheetData>
    <row r="1" spans="1:9" ht="38.1" customHeight="1" thickBot="1">
      <c r="A1" s="185" t="s">
        <v>90</v>
      </c>
      <c r="B1" s="186"/>
      <c r="C1" s="186"/>
      <c r="D1" s="186"/>
      <c r="E1" s="186"/>
      <c r="F1" s="186"/>
      <c r="G1" s="186"/>
      <c r="H1" s="186"/>
      <c r="I1" s="187"/>
    </row>
    <row r="2" spans="1:9" ht="60">
      <c r="A2" s="72"/>
      <c r="B2" s="188" t="s">
        <v>116</v>
      </c>
      <c r="C2" s="188"/>
      <c r="D2" s="188"/>
      <c r="E2" s="74" t="s">
        <v>124</v>
      </c>
      <c r="F2" s="93" t="s">
        <v>34</v>
      </c>
      <c r="G2" s="93" t="s">
        <v>125</v>
      </c>
      <c r="H2" s="93" t="s">
        <v>150</v>
      </c>
      <c r="I2" s="93" t="s">
        <v>151</v>
      </c>
    </row>
    <row r="3" spans="1:9">
      <c r="A3" s="82">
        <v>1</v>
      </c>
      <c r="B3" s="83" t="s">
        <v>84</v>
      </c>
      <c r="C3" s="203" t="s">
        <v>117</v>
      </c>
      <c r="D3" s="203"/>
      <c r="E3" s="70">
        <v>30000</v>
      </c>
      <c r="F3" s="70">
        <v>20000</v>
      </c>
      <c r="G3" s="70">
        <v>20000</v>
      </c>
      <c r="H3" s="70">
        <v>20000</v>
      </c>
      <c r="I3" s="70">
        <f>SUM(F3:H3)</f>
        <v>60000</v>
      </c>
    </row>
    <row r="4" spans="1:9">
      <c r="A4" s="82">
        <v>2</v>
      </c>
      <c r="B4" s="83" t="s">
        <v>84</v>
      </c>
      <c r="C4" s="189" t="s">
        <v>135</v>
      </c>
      <c r="D4" s="190"/>
      <c r="E4" s="70">
        <v>15000</v>
      </c>
      <c r="F4" s="70">
        <v>15000</v>
      </c>
      <c r="G4" s="70">
        <v>20000</v>
      </c>
      <c r="H4" s="70">
        <v>20000</v>
      </c>
      <c r="I4" s="70">
        <f t="shared" ref="I4:I6" si="0">SUM(F4:H4)</f>
        <v>55000</v>
      </c>
    </row>
    <row r="5" spans="1:9">
      <c r="A5" s="82">
        <v>3</v>
      </c>
      <c r="B5" s="83" t="s">
        <v>84</v>
      </c>
      <c r="C5" s="203" t="s">
        <v>118</v>
      </c>
      <c r="D5" s="203"/>
      <c r="E5" s="70">
        <v>10000</v>
      </c>
      <c r="F5" s="70">
        <v>10000</v>
      </c>
      <c r="G5" s="70">
        <v>10000</v>
      </c>
      <c r="H5" s="70">
        <v>10000</v>
      </c>
      <c r="I5" s="70">
        <f>SUM(F5:H5)</f>
        <v>30000</v>
      </c>
    </row>
    <row r="6" spans="1:9">
      <c r="A6" s="82">
        <v>4</v>
      </c>
      <c r="B6" s="83" t="s">
        <v>84</v>
      </c>
      <c r="C6" s="203" t="s">
        <v>119</v>
      </c>
      <c r="D6" s="203"/>
      <c r="E6" s="70">
        <v>15000</v>
      </c>
      <c r="F6" s="70">
        <v>15000</v>
      </c>
      <c r="G6" s="70">
        <v>20000</v>
      </c>
      <c r="H6" s="70">
        <v>20000</v>
      </c>
      <c r="I6" s="70">
        <f t="shared" si="0"/>
        <v>55000</v>
      </c>
    </row>
    <row r="7" spans="1:9" ht="15.75">
      <c r="A7" s="191" t="s">
        <v>89</v>
      </c>
      <c r="B7" s="191"/>
      <c r="C7" s="191"/>
      <c r="D7" s="191"/>
      <c r="E7" s="80">
        <f>SUM(E3:E6)</f>
        <v>70000</v>
      </c>
      <c r="F7" s="80">
        <f t="shared" ref="F7:I7" si="1">SUM(F3:F6)</f>
        <v>60000</v>
      </c>
      <c r="G7" s="80">
        <f t="shared" si="1"/>
        <v>70000</v>
      </c>
      <c r="H7" s="80">
        <f t="shared" si="1"/>
        <v>70000</v>
      </c>
      <c r="I7" s="80">
        <f t="shared" si="1"/>
        <v>200000</v>
      </c>
    </row>
    <row r="8" spans="1:9" ht="15.75">
      <c r="A8" s="84"/>
      <c r="B8" s="84"/>
      <c r="C8" s="84"/>
      <c r="D8" s="84"/>
      <c r="E8" s="84"/>
      <c r="F8" s="84"/>
      <c r="G8" s="84"/>
      <c r="H8" s="84"/>
      <c r="I8" s="84"/>
    </row>
  </sheetData>
  <mergeCells count="7">
    <mergeCell ref="A7:D7"/>
    <mergeCell ref="C6:D6"/>
    <mergeCell ref="A1:I1"/>
    <mergeCell ref="B2:D2"/>
    <mergeCell ref="C3:D3"/>
    <mergeCell ref="C4:D4"/>
    <mergeCell ref="C5:D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Program KULTURA</vt:lpstr>
      <vt:lpstr>PA 1</vt:lpstr>
      <vt:lpstr>PA 1 - Projekti</vt:lpstr>
      <vt:lpstr>PA 2</vt:lpstr>
      <vt:lpstr>PA 2 - Projekti</vt:lpstr>
      <vt:lpstr>PA 3</vt:lpstr>
      <vt:lpstr>PA 3 - Projekti</vt:lpstr>
      <vt:lpstr>'PA 1'!Print_Area</vt:lpstr>
      <vt:lpstr>'PA 2'!Print_Area</vt:lpstr>
      <vt:lpstr>'PA 2 - Projekti'!Print_Area</vt:lpstr>
      <vt:lpstr>'PA 3'!Print_Area</vt:lpstr>
      <vt:lpstr>'Program KULTURA'!Print_Area</vt:lpstr>
    </vt:vector>
  </TitlesOfParts>
  <Company>PRESSNOW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 Rokvić</dc:creator>
  <cp:lastModifiedBy>kanc84tanjab</cp:lastModifiedBy>
  <cp:lastPrinted>2023-02-27T12:15:43Z</cp:lastPrinted>
  <dcterms:created xsi:type="dcterms:W3CDTF">2006-04-28T10:39:09Z</dcterms:created>
  <dcterms:modified xsi:type="dcterms:W3CDTF">2023-03-16T11:27:59Z</dcterms:modified>
</cp:coreProperties>
</file>