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985" tabRatio="827"/>
  </bookViews>
  <sheets>
    <sheet name="Program KULTURA" sheetId="29" r:id="rId1"/>
    <sheet name="PA 1" sheetId="30" r:id="rId2"/>
    <sheet name="PA 1 - Projekti" sheetId="32" r:id="rId3"/>
    <sheet name="PA 2" sheetId="33" r:id="rId4"/>
    <sheet name="PA 2 - Projekti" sheetId="34" r:id="rId5"/>
    <sheet name="PA 3" sheetId="35" r:id="rId6"/>
    <sheet name="PA 3 - Projekti" sheetId="38" r:id="rId7"/>
  </sheets>
  <definedNames>
    <definedName name="_xlnm.Print_Area" localSheetId="1">'PA 1'!$A$1:$I$54</definedName>
    <definedName name="_xlnm.Print_Area" localSheetId="3">'PA 2'!$A$1:$I$24</definedName>
    <definedName name="_xlnm.Print_Area" localSheetId="4">'PA 2 - Projekti'!$A$2:$I$5</definedName>
    <definedName name="_xlnm.Print_Area" localSheetId="5">'PA 3'!$A$1:$I$23</definedName>
    <definedName name="_xlnm.Print_Area" localSheetId="0">'Program KULTURA'!$A$1:$I$21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/>
  <c r="G20" i="30"/>
  <c r="F20"/>
  <c r="H15"/>
  <c r="F49"/>
  <c r="F48"/>
  <c r="F47"/>
  <c r="G49"/>
  <c r="G48"/>
  <c r="G47"/>
  <c r="H47"/>
  <c r="G15"/>
  <c r="F15"/>
  <c r="H14" i="29"/>
  <c r="G14"/>
  <c r="F52" i="30"/>
  <c r="F36"/>
  <c r="F41"/>
  <c r="F40"/>
  <c r="F38"/>
  <c r="F35"/>
  <c r="F34"/>
  <c r="F33"/>
  <c r="F31"/>
  <c r="F43"/>
  <c r="F30"/>
  <c r="F29"/>
  <c r="F28"/>
  <c r="F27"/>
  <c r="F26"/>
  <c r="F17" i="29"/>
  <c r="H53" i="30"/>
  <c r="H52"/>
  <c r="G52"/>
  <c r="G53"/>
  <c r="H43"/>
  <c r="H41"/>
  <c r="H40"/>
  <c r="H38"/>
  <c r="H36"/>
  <c r="H35"/>
  <c r="H34"/>
  <c r="H33"/>
  <c r="H31"/>
  <c r="H30"/>
  <c r="H29"/>
  <c r="H28"/>
  <c r="H27"/>
  <c r="H26"/>
  <c r="I37"/>
  <c r="G40"/>
  <c r="G43"/>
  <c r="G41"/>
  <c r="G38"/>
  <c r="G36"/>
  <c r="G35"/>
  <c r="G34"/>
  <c r="G33"/>
  <c r="G31"/>
  <c r="G30"/>
  <c r="G29"/>
  <c r="G28"/>
  <c r="G27"/>
  <c r="G26"/>
  <c r="G19" i="29"/>
  <c r="G18"/>
  <c r="G17"/>
  <c r="E28" i="30"/>
  <c r="E26"/>
  <c r="H20"/>
  <c r="E20"/>
  <c r="E53" l="1"/>
  <c r="E43"/>
  <c r="E42"/>
  <c r="E41"/>
  <c r="E40"/>
  <c r="E39"/>
  <c r="E38"/>
  <c r="E36"/>
  <c r="E35"/>
  <c r="E34"/>
  <c r="E33"/>
  <c r="E31"/>
  <c r="E30"/>
  <c r="E29"/>
  <c r="E27"/>
  <c r="E17" i="29"/>
  <c r="H7" i="38"/>
  <c r="G7"/>
  <c r="F7"/>
  <c r="E7"/>
  <c r="H5" i="34"/>
  <c r="G5"/>
  <c r="F5"/>
  <c r="E5"/>
  <c r="F7" i="32"/>
  <c r="G7"/>
  <c r="H7"/>
  <c r="E7"/>
  <c r="F54" i="30" l="1"/>
  <c r="G54"/>
  <c r="H54"/>
  <c r="E52"/>
  <c r="I5" i="32"/>
  <c r="I5" i="38" l="1"/>
  <c r="I4"/>
  <c r="I6"/>
  <c r="I3"/>
  <c r="I21" i="35"/>
  <c r="G22"/>
  <c r="H22"/>
  <c r="I17"/>
  <c r="I16"/>
  <c r="G18"/>
  <c r="H18"/>
  <c r="I4" i="34"/>
  <c r="I3"/>
  <c r="I22" i="33"/>
  <c r="G23"/>
  <c r="H23"/>
  <c r="I18"/>
  <c r="G19"/>
  <c r="H19"/>
  <c r="I4" i="32"/>
  <c r="I6"/>
  <c r="I3"/>
  <c r="I53" i="30"/>
  <c r="I32"/>
  <c r="I39"/>
  <c r="I42"/>
  <c r="I18" i="29"/>
  <c r="I19"/>
  <c r="G20"/>
  <c r="H20"/>
  <c r="I7" i="38" l="1"/>
  <c r="I7" i="32"/>
  <c r="I5" i="34"/>
  <c r="G44" i="30"/>
  <c r="H44"/>
  <c r="E18" i="35"/>
  <c r="E21" s="1"/>
  <c r="E22" s="1"/>
  <c r="F22"/>
  <c r="I22" s="1"/>
  <c r="F18"/>
  <c r="I18" s="1"/>
  <c r="F23" i="33"/>
  <c r="I23" s="1"/>
  <c r="E23"/>
  <c r="F19"/>
  <c r="I19" s="1"/>
  <c r="E19"/>
  <c r="I38" i="30"/>
  <c r="I34"/>
  <c r="I43"/>
  <c r="I41"/>
  <c r="I40"/>
  <c r="I36"/>
  <c r="I35"/>
  <c r="I33"/>
  <c r="I31"/>
  <c r="I30"/>
  <c r="I29"/>
  <c r="I28"/>
  <c r="I27"/>
  <c r="I26"/>
  <c r="J20"/>
  <c r="M11"/>
  <c r="M12"/>
  <c r="L12"/>
  <c r="M13"/>
  <c r="L13"/>
  <c r="J11"/>
  <c r="J18" s="1"/>
  <c r="K12"/>
  <c r="K14" s="1"/>
  <c r="J12"/>
  <c r="J14" s="1"/>
  <c r="E20" i="29"/>
  <c r="I44" i="30" l="1"/>
  <c r="F20" i="29"/>
  <c r="I17"/>
  <c r="E54" i="30"/>
  <c r="E44"/>
  <c r="M18"/>
  <c r="J15"/>
  <c r="M15"/>
  <c r="M17"/>
  <c r="F44"/>
  <c r="M14"/>
  <c r="J17"/>
  <c r="M20"/>
  <c r="L14"/>
  <c r="I54"/>
  <c r="I52"/>
  <c r="I20" i="29" l="1"/>
  <c r="F14"/>
  <c r="K44" i="30"/>
</calcChain>
</file>

<file path=xl/sharedStrings.xml><?xml version="1.0" encoding="utf-8"?>
<sst xmlns="http://schemas.openxmlformats.org/spreadsheetml/2006/main" count="301" uniqueCount="163">
  <si>
    <t>175</t>
  </si>
  <si>
    <t>180</t>
  </si>
  <si>
    <t>17,5</t>
  </si>
  <si>
    <t>1,38</t>
  </si>
  <si>
    <t>/</t>
  </si>
  <si>
    <t>17,6</t>
  </si>
  <si>
    <t>181</t>
  </si>
  <si>
    <t>182</t>
  </si>
  <si>
    <t>&gt;=1</t>
  </si>
  <si>
    <t>Број манифестација које имају за циљ промовисање женских људских права</t>
  </si>
  <si>
    <t>Програмски Буџет - ПРОГРАМ</t>
  </si>
  <si>
    <t>Назив програма:</t>
  </si>
  <si>
    <t>КУЛТУРА</t>
  </si>
  <si>
    <t>Сврха:</t>
  </si>
  <si>
    <t>Развој културе на подручју Града</t>
  </si>
  <si>
    <t>Основ:</t>
  </si>
  <si>
    <t>Опис:</t>
  </si>
  <si>
    <t>Програм обухвата подршку културним установама, организацијама и дјелатностема, те културним манифестацијама на подручју Града</t>
  </si>
  <si>
    <t>Одговорно лице за 
спровођење програма:</t>
  </si>
  <si>
    <t>Назив организационе јединице</t>
  </si>
  <si>
    <t>Циљ</t>
  </si>
  <si>
    <t xml:space="preserve">Индикатори </t>
  </si>
  <si>
    <t>Назив индикатора</t>
  </si>
  <si>
    <t>Вриједност у базној години (2019)</t>
  </si>
  <si>
    <t>Циљана вриједност 2021</t>
  </si>
  <si>
    <t>Циљана вриједност 2022</t>
  </si>
  <si>
    <t xml:space="preserve">Извор верификације за сваки индикатор </t>
  </si>
  <si>
    <t>Планско  подстицање развоја културе кроз јачање капацитета културне инфраструктуре и унапређење чувања културно-историјског насљеђа</t>
  </si>
  <si>
    <t>Укупан број манифестација на 1000 становника</t>
  </si>
  <si>
    <t>Информација о стању у области културе на подручју града Градиша</t>
  </si>
  <si>
    <t>Задовољство грађана културним садржајима у граду (по сполној структури)</t>
  </si>
  <si>
    <t>Анкете</t>
  </si>
  <si>
    <t>Укупна средства у култури у оквиру локалног буџета</t>
  </si>
  <si>
    <t>Извјештај о извршењу буџета</t>
  </si>
  <si>
    <t xml:space="preserve">Списак програмских мјера </t>
  </si>
  <si>
    <t>Расходи
 у 2021</t>
  </si>
  <si>
    <t>Расходи
 у 2022</t>
  </si>
  <si>
    <t>Мјера:</t>
  </si>
  <si>
    <t>Функционисање локалних установа културе</t>
  </si>
  <si>
    <t>Подстицаји културном и умјетничком стваралаштву</t>
  </si>
  <si>
    <t>Подршка одржавању културних манифестација</t>
  </si>
  <si>
    <t>УКУПНО:</t>
  </si>
  <si>
    <t>Извори финансирања</t>
  </si>
  <si>
    <t>Извори
 у 2021</t>
  </si>
  <si>
    <t>Извори
 у 2022</t>
  </si>
  <si>
    <t>Буџет града Градишка</t>
  </si>
  <si>
    <t xml:space="preserve">Властити приходи буџетских корисника </t>
  </si>
  <si>
    <t xml:space="preserve">Расходи и издаци директно везани за програмску мјеру </t>
  </si>
  <si>
    <t>Расходи за бруто плате</t>
  </si>
  <si>
    <t>Расходи за бруто накнаде</t>
  </si>
  <si>
    <t>Расходи за нак плата за вријеме боловања</t>
  </si>
  <si>
    <t>Расходи за отпремнине и једнократне помоћи</t>
  </si>
  <si>
    <t>Расходи по основу утрошка енергије, комуналних и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</si>
  <si>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</si>
  <si>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</si>
  <si>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</si>
  <si>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по основу путовања и смјештаја</t>
  </si>
  <si>
    <t>Расходи за стручне услуге</t>
  </si>
  <si>
    <t>Остали некласификовани расходи (програмске активности)</t>
  </si>
  <si>
    <t>Расходи из трансакција размјене унутар исте јединице власти</t>
  </si>
  <si>
    <t>Издаци за инвестиционо одржавање</t>
  </si>
  <si>
    <t>Издаци за набавку опреме</t>
  </si>
  <si>
    <t>Издаци по основу пореза на додату вриједност</t>
  </si>
  <si>
    <t>Накнаде плата за вријеме болести</t>
  </si>
  <si>
    <t xml:space="preserve">Програм: </t>
  </si>
  <si>
    <t>Назив:</t>
  </si>
  <si>
    <t xml:space="preserve"> Функционисање локалних установа културе </t>
  </si>
  <si>
    <t>Назив организационе јединице:</t>
  </si>
  <si>
    <t>Осигуравање финансијске подршке локалним установама културе</t>
  </si>
  <si>
    <t>Овом програмском активношћу пружа се подршка локалних установа културе кроз осигуравање финансијских средстава за њихово функционисање као и реализацију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</si>
  <si>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
спровођење прог активности:</t>
  </si>
  <si>
    <t>Индикатори исхода/излазног резултата</t>
  </si>
  <si>
    <t>Подстицање културног развоја кроз изградњу капацитета културних установа</t>
  </si>
  <si>
    <t>Проценат удјела средстава за културне програме у буџету установа културе; процент удјела плата упосленика у буџету установа културе (подаци представљени према полу)</t>
  </si>
  <si>
    <t>Проценат удјела капиталних  улагања у буџету културних институција</t>
  </si>
  <si>
    <t>Број школа у односу на укупни број које су у имале организиране посјете установама културе</t>
  </si>
  <si>
    <t>Годишњи извјештају установа културе</t>
  </si>
  <si>
    <t>Проценат буџета намењен финансирању установа културе</t>
  </si>
  <si>
    <t>Побољшање ефикасности установа културе</t>
  </si>
  <si>
    <t>Број запослених у културним институцијама у односу на укупно становништво града укључујући и полну структуру</t>
  </si>
  <si>
    <t>у - 0,01%                ж - 0,08%                 м - 0,11%</t>
  </si>
  <si>
    <t>Број посјетилаца/чланова установа културе (подаци представљени према полу)</t>
  </si>
  <si>
    <t>Процентуално учешће властитих прихода у буџету установа културе</t>
  </si>
  <si>
    <t>Годишња потрошња електричне енергије у КМ по м2 површине</t>
  </si>
  <si>
    <t>Годишња потрошња воде у КМ по запосленом</t>
  </si>
  <si>
    <t>Годишња потрошња топлинске енергије намијењена за гријање просторија у КМ на 1000м2</t>
  </si>
  <si>
    <t xml:space="preserve">Списак пројеката у оквиру програмске мјере </t>
  </si>
  <si>
    <t>Пројекат:</t>
  </si>
  <si>
    <t>ЈУ Завичајни музеј Градишка</t>
  </si>
  <si>
    <t>ЈУ Културни центар Градишка</t>
  </si>
  <si>
    <t>ЈУ Народна библиотека Градишка</t>
  </si>
  <si>
    <t>ЈУ Градско позориште Градишка</t>
  </si>
  <si>
    <t>УКУПНО</t>
  </si>
  <si>
    <t>Програмски Буџет - ПРОЈЕКТИ</t>
  </si>
  <si>
    <t>Расходи у 2022</t>
  </si>
  <si>
    <t>Програм:</t>
  </si>
  <si>
    <t>Повећање интересовања грађана развоју културе</t>
  </si>
  <si>
    <t>Овом програмском активношћу пружа се подршка организацијама и удружењима из области културе кроз осигуравање дијела финансијских средстава за реализацију њихових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</si>
  <si>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спровођење програма активности:</t>
  </si>
  <si>
    <t>Подршка раду и промоцији рада културних организација и удружења на подручју Града</t>
  </si>
  <si>
    <t>Број организација и удружења у области културе на подручју Града у односу на број становника (укупно и полна структура)</t>
  </si>
  <si>
    <t>о и у -17               у- 2,7 %          м- 1,2%           ж-4,2 %</t>
  </si>
  <si>
    <t>о и у -17               у- 2,7 %           м- 1,2%             ж-4,2 %</t>
  </si>
  <si>
    <t>Информација о стању у области културе на подручју града Градишка</t>
  </si>
  <si>
    <t>Број организованих културних догађаја од стране организација и удружења у области културе</t>
  </si>
  <si>
    <t>Број посјета школа установама културе</t>
  </si>
  <si>
    <t>Расходи и издаци директно везани за програмску мјеру</t>
  </si>
  <si>
    <t>Текући грантови културним организацијама и дјелатностима</t>
  </si>
  <si>
    <t>Извори у 2021</t>
  </si>
  <si>
    <t>Извори у 2022</t>
  </si>
  <si>
    <t>Списак пројеката у оквиру програмске мјере</t>
  </si>
  <si>
    <t>Расподјела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Јавног позива</t>
  </si>
  <si>
    <t xml:space="preserve">Додјела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захтјева из резерве </t>
  </si>
  <si>
    <t>Служба Градоначелника</t>
  </si>
  <si>
    <t>Повећање задовољства грађањем културним садржајем на подручју Града</t>
  </si>
  <si>
    <t>Овом програмском активношћу пружа се подршка развоју културних садржаја  кроз осигуравање финансијских средстава за реализацију културних програмских манифестација</t>
  </si>
  <si>
    <t>Горан Суботић, Начелник службе Градоначелника</t>
  </si>
  <si>
    <t>Повећање заинтересираности грађана за културна догађања</t>
  </si>
  <si>
    <t>Број планираних манифестација културе које организира градска управа</t>
  </si>
  <si>
    <t>Годишњи план рада ЈЛС</t>
  </si>
  <si>
    <t>Број грађана који је присуствовао одржаним манифестацијама културе</t>
  </si>
  <si>
    <t>Извјештаји о реализацији плана рада ЈЛС</t>
  </si>
  <si>
    <t>Списак пројеката у оквиу програмске мјере</t>
  </si>
  <si>
    <t>Градишка зима</t>
  </si>
  <si>
    <t>Градишко љето</t>
  </si>
  <si>
    <t>Градишка јесен</t>
  </si>
  <si>
    <t>Програмски Буџет - Мјера</t>
  </si>
  <si>
    <t>Програмски Буџет - МЈЕРА</t>
  </si>
  <si>
    <t>Годишњи извјештаји установа културе</t>
  </si>
  <si>
    <t>Год.извјеш. установа културе</t>
  </si>
  <si>
    <t>Расходи у базној год (2020)</t>
  </si>
  <si>
    <t>Расходи
 у 2023</t>
  </si>
  <si>
    <t>2,54%</t>
  </si>
  <si>
    <t>Издаци за залихе материјала</t>
  </si>
  <si>
    <t>Извори у базној год (2020)</t>
  </si>
  <si>
    <t>Извори
 у 2023</t>
  </si>
  <si>
    <t>УКУПНО (2021-2023):</t>
  </si>
  <si>
    <t>Расходи у базној години (2020)</t>
  </si>
  <si>
    <t>Расходи у  2022</t>
  </si>
  <si>
    <t>Расходи у 2023</t>
  </si>
  <si>
    <t>Извори у базној години (2020)</t>
  </si>
  <si>
    <t>Извори у 2023</t>
  </si>
  <si>
    <t>Циљана вриједност 2023</t>
  </si>
  <si>
    <t>Дан Града (културне манифестације )</t>
  </si>
  <si>
    <t>Вриједност у базној години (2020)</t>
  </si>
  <si>
    <t>17,8%, 56,0%</t>
  </si>
  <si>
    <t>2,3%,</t>
  </si>
  <si>
    <t>1,8%</t>
  </si>
  <si>
    <t>Број укључених у рад организација и удружења у област културе</t>
  </si>
  <si>
    <t>Расходи по основу затезних камата</t>
  </si>
  <si>
    <t>Одјељење за привреду и друштвене дјелатности</t>
  </si>
  <si>
    <t>Драгана Бјелић, самостални стручни сарадник за здравство, социјалну заштиту, културу и религију</t>
  </si>
  <si>
    <t>Закон о културу,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у области културе, Одлука о извршењу Буџета града Градишка</t>
  </si>
  <si>
    <t>Закон о културу,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организацијамау области културе, Одлука о извршењу Буџета града Градишка</t>
  </si>
  <si>
    <t>Закон о култури,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у области културе, Одлука о извршењу Буџета града Градишка</t>
  </si>
  <si>
    <t>Вриједност у базној години (2021)</t>
  </si>
  <si>
    <t>Расходи у базној год (2021)</t>
  </si>
  <si>
    <t>18%, 53%</t>
  </si>
  <si>
    <t>4%</t>
  </si>
  <si>
    <t>19%, 52%</t>
  </si>
  <si>
    <t>3%</t>
  </si>
  <si>
    <t>Расходи у базној години (2021)</t>
  </si>
  <si>
    <t>Извори у базној год (2021)</t>
  </si>
</sst>
</file>

<file path=xl/styles.xml><?xml version="1.0" encoding="utf-8"?>
<styleSheet xmlns="http://schemas.openxmlformats.org/spreadsheetml/2006/main">
  <numFmts count="1">
    <numFmt numFmtId="43" formatCode="_-* #,##0.00\ _K_M_-;\-* #,##0.00\ _K_M_-;_-* &quot;-&quot;??\ _K_M_-;_-@_-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49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/>
    <xf numFmtId="43" fontId="6" fillId="0" borderId="0" xfId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0" xfId="0" applyNumberFormat="1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indent="4"/>
    </xf>
    <xf numFmtId="3" fontId="11" fillId="3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horizontal="right" vertical="center"/>
    </xf>
    <xf numFmtId="3" fontId="14" fillId="3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wrapText="1"/>
    </xf>
    <xf numFmtId="3" fontId="16" fillId="0" borderId="1" xfId="0" applyNumberFormat="1" applyFont="1" applyFill="1" applyBorder="1" applyAlignment="1">
      <alignment horizontal="righ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0" xfId="0" applyFont="1"/>
    <xf numFmtId="3" fontId="11" fillId="0" borderId="0" xfId="0" applyNumberFormat="1" applyFont="1"/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wrapText="1"/>
    </xf>
    <xf numFmtId="2" fontId="6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right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9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5" fillId="0" borderId="14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zoomScaleSheetLayoutView="120" workbookViewId="0">
      <selection activeCell="I22" sqref="I22"/>
    </sheetView>
  </sheetViews>
  <sheetFormatPr defaultColWidth="8.85546875" defaultRowHeight="11.25"/>
  <cols>
    <col min="1" max="1" width="12" style="37" customWidth="1"/>
    <col min="2" max="2" width="17.7109375" style="56" customWidth="1"/>
    <col min="3" max="3" width="28.28515625" style="56" customWidth="1"/>
    <col min="4" max="4" width="25.42578125" style="37" customWidth="1"/>
    <col min="5" max="5" width="15.42578125" style="37" hidden="1" customWidth="1"/>
    <col min="6" max="6" width="14.42578125" style="37" customWidth="1"/>
    <col min="7" max="7" width="15" style="37" customWidth="1"/>
    <col min="8" max="8" width="15.140625" style="37" customWidth="1"/>
    <col min="9" max="9" width="15.7109375" style="37" customWidth="1"/>
    <col min="10" max="16384" width="8.85546875" style="37"/>
  </cols>
  <sheetData>
    <row r="1" spans="1:9" ht="12" thickBot="1">
      <c r="A1" s="102" t="s">
        <v>10</v>
      </c>
      <c r="B1" s="103"/>
      <c r="C1" s="103"/>
      <c r="D1" s="103"/>
      <c r="E1" s="103"/>
      <c r="F1" s="103"/>
      <c r="G1" s="103"/>
      <c r="H1" s="103"/>
      <c r="I1" s="104"/>
    </row>
    <row r="2" spans="1:9">
      <c r="A2" s="113" t="s">
        <v>11</v>
      </c>
      <c r="B2" s="97"/>
      <c r="C2" s="111" t="s">
        <v>12</v>
      </c>
      <c r="D2" s="111"/>
      <c r="E2" s="111"/>
      <c r="F2" s="111"/>
      <c r="G2" s="111"/>
      <c r="H2" s="111"/>
      <c r="I2" s="112"/>
    </row>
    <row r="3" spans="1:9">
      <c r="A3" s="113" t="s">
        <v>13</v>
      </c>
      <c r="B3" s="97"/>
      <c r="C3" s="111" t="s">
        <v>14</v>
      </c>
      <c r="D3" s="111"/>
      <c r="E3" s="111"/>
      <c r="F3" s="111"/>
      <c r="G3" s="111"/>
      <c r="H3" s="111"/>
      <c r="I3" s="112"/>
    </row>
    <row r="4" spans="1:9">
      <c r="A4" s="113" t="s">
        <v>15</v>
      </c>
      <c r="B4" s="97"/>
      <c r="C4" s="109" t="s">
        <v>154</v>
      </c>
      <c r="D4" s="109"/>
      <c r="E4" s="109"/>
      <c r="F4" s="109"/>
      <c r="G4" s="109"/>
      <c r="H4" s="109"/>
      <c r="I4" s="110"/>
    </row>
    <row r="5" spans="1:9">
      <c r="A5" s="113" t="s">
        <v>16</v>
      </c>
      <c r="B5" s="97"/>
      <c r="C5" s="107" t="s">
        <v>17</v>
      </c>
      <c r="D5" s="107"/>
      <c r="E5" s="107"/>
      <c r="F5" s="107"/>
      <c r="G5" s="107"/>
      <c r="H5" s="107"/>
      <c r="I5" s="108"/>
    </row>
    <row r="6" spans="1:9">
      <c r="A6" s="96" t="s">
        <v>18</v>
      </c>
      <c r="B6" s="97"/>
      <c r="C6" s="116" t="s">
        <v>151</v>
      </c>
      <c r="D6" s="116"/>
      <c r="E6" s="116"/>
      <c r="F6" s="116"/>
      <c r="G6" s="116"/>
      <c r="H6" s="116"/>
      <c r="I6" s="117"/>
    </row>
    <row r="7" spans="1:9" ht="12" thickBot="1">
      <c r="A7" s="114" t="s">
        <v>19</v>
      </c>
      <c r="B7" s="115"/>
      <c r="C7" s="105" t="s">
        <v>150</v>
      </c>
      <c r="D7" s="105"/>
      <c r="E7" s="105"/>
      <c r="F7" s="105"/>
      <c r="G7" s="105"/>
      <c r="H7" s="105"/>
      <c r="I7" s="106"/>
    </row>
    <row r="8" spans="1:9">
      <c r="A8" s="38"/>
      <c r="B8" s="39"/>
      <c r="C8" s="40"/>
      <c r="D8" s="38"/>
      <c r="E8" s="38"/>
      <c r="F8" s="38"/>
    </row>
    <row r="9" spans="1:9">
      <c r="A9" s="100"/>
      <c r="B9" s="95" t="s">
        <v>20</v>
      </c>
      <c r="C9" s="95"/>
      <c r="D9" s="95" t="s">
        <v>21</v>
      </c>
      <c r="E9" s="95"/>
      <c r="F9" s="95"/>
      <c r="G9" s="95"/>
      <c r="H9" s="95"/>
      <c r="I9" s="95"/>
    </row>
    <row r="10" spans="1:9" ht="42">
      <c r="A10" s="100"/>
      <c r="B10" s="95"/>
      <c r="C10" s="95"/>
      <c r="D10" s="41" t="s">
        <v>22</v>
      </c>
      <c r="E10" s="41" t="s">
        <v>23</v>
      </c>
      <c r="F10" s="41" t="s">
        <v>155</v>
      </c>
      <c r="G10" s="88" t="s">
        <v>25</v>
      </c>
      <c r="H10" s="88" t="s">
        <v>142</v>
      </c>
      <c r="I10" s="41" t="s">
        <v>26</v>
      </c>
    </row>
    <row r="11" spans="1:9" ht="56.25">
      <c r="A11" s="101">
        <v>1</v>
      </c>
      <c r="B11" s="99" t="s">
        <v>27</v>
      </c>
      <c r="C11" s="99"/>
      <c r="D11" s="43" t="s">
        <v>28</v>
      </c>
      <c r="E11" s="44" t="s">
        <v>3</v>
      </c>
      <c r="F11" s="45">
        <v>1.56</v>
      </c>
      <c r="G11" s="45">
        <v>1.56</v>
      </c>
      <c r="H11" s="45">
        <v>1.56</v>
      </c>
      <c r="I11" s="46" t="s">
        <v>29</v>
      </c>
    </row>
    <row r="12" spans="1:9" ht="56.25">
      <c r="A12" s="101"/>
      <c r="B12" s="99"/>
      <c r="C12" s="99"/>
      <c r="D12" s="43" t="s">
        <v>9</v>
      </c>
      <c r="E12" s="47" t="s">
        <v>4</v>
      </c>
      <c r="F12" s="47" t="s">
        <v>8</v>
      </c>
      <c r="G12" s="47" t="s">
        <v>8</v>
      </c>
      <c r="H12" s="47" t="s">
        <v>8</v>
      </c>
      <c r="I12" s="46" t="s">
        <v>29</v>
      </c>
    </row>
    <row r="13" spans="1:9" ht="33.75">
      <c r="A13" s="101"/>
      <c r="B13" s="99"/>
      <c r="C13" s="99"/>
      <c r="D13" s="43" t="s">
        <v>30</v>
      </c>
      <c r="E13" s="47" t="s">
        <v>4</v>
      </c>
      <c r="F13" s="47" t="s">
        <v>4</v>
      </c>
      <c r="G13" s="47" t="s">
        <v>4</v>
      </c>
      <c r="H13" s="47" t="s">
        <v>4</v>
      </c>
      <c r="I13" s="46" t="s">
        <v>31</v>
      </c>
    </row>
    <row r="14" spans="1:9" ht="22.5">
      <c r="A14" s="101"/>
      <c r="B14" s="99"/>
      <c r="C14" s="99"/>
      <c r="D14" s="43" t="s">
        <v>32</v>
      </c>
      <c r="E14" s="44" t="s">
        <v>132</v>
      </c>
      <c r="F14" s="48">
        <f>+F20/37200000</f>
        <v>4.1180107526881719E-2</v>
      </c>
      <c r="G14" s="48">
        <f>+G20/32800000</f>
        <v>4.8426829268292684E-2</v>
      </c>
      <c r="H14" s="48">
        <f>+H20/32800000</f>
        <v>4.8426829268292684E-2</v>
      </c>
      <c r="I14" s="46" t="s">
        <v>33</v>
      </c>
    </row>
    <row r="15" spans="1:9">
      <c r="A15" s="49"/>
      <c r="B15" s="49"/>
      <c r="C15" s="49"/>
      <c r="D15" s="98"/>
      <c r="E15" s="98"/>
      <c r="F15" s="98"/>
      <c r="G15" s="50"/>
    </row>
    <row r="16" spans="1:9" ht="31.5">
      <c r="A16" s="51"/>
      <c r="B16" s="95" t="s">
        <v>34</v>
      </c>
      <c r="C16" s="95"/>
      <c r="D16" s="95"/>
      <c r="E16" s="42" t="s">
        <v>130</v>
      </c>
      <c r="F16" s="88" t="s">
        <v>156</v>
      </c>
      <c r="G16" s="42" t="s">
        <v>36</v>
      </c>
      <c r="H16" s="42" t="s">
        <v>131</v>
      </c>
      <c r="I16" s="42" t="s">
        <v>136</v>
      </c>
    </row>
    <row r="17" spans="1:9" ht="19.5" customHeight="1">
      <c r="A17" s="52">
        <v>1</v>
      </c>
      <c r="B17" s="53" t="s">
        <v>37</v>
      </c>
      <c r="C17" s="119" t="s">
        <v>38</v>
      </c>
      <c r="D17" s="120"/>
      <c r="E17" s="58">
        <f>340000+724000+146300+50000</f>
        <v>1260300</v>
      </c>
      <c r="F17" s="58">
        <f>359900+780000+168000+54000</f>
        <v>1361900</v>
      </c>
      <c r="G17" s="58">
        <f>+'PA 1 - Projekti'!G7</f>
        <v>1408400</v>
      </c>
      <c r="H17" s="58">
        <v>1408400</v>
      </c>
      <c r="I17" s="58">
        <f>SUM(F17:H17)</f>
        <v>4178700</v>
      </c>
    </row>
    <row r="18" spans="1:9" ht="18.75" customHeight="1">
      <c r="A18" s="52">
        <v>2</v>
      </c>
      <c r="B18" s="53" t="s">
        <v>37</v>
      </c>
      <c r="C18" s="119" t="s">
        <v>39</v>
      </c>
      <c r="D18" s="120"/>
      <c r="E18" s="58">
        <v>75000</v>
      </c>
      <c r="F18" s="58">
        <v>100000</v>
      </c>
      <c r="G18" s="58">
        <f>+'PA 2'!G18</f>
        <v>100000</v>
      </c>
      <c r="H18" s="58">
        <v>100000</v>
      </c>
      <c r="I18" s="58">
        <f t="shared" ref="I18:I20" si="0">SUM(F18:H18)</f>
        <v>300000</v>
      </c>
    </row>
    <row r="19" spans="1:9" ht="21" customHeight="1">
      <c r="A19" s="52">
        <v>3</v>
      </c>
      <c r="B19" s="53" t="s">
        <v>37</v>
      </c>
      <c r="C19" s="119" t="s">
        <v>40</v>
      </c>
      <c r="D19" s="120"/>
      <c r="E19" s="58">
        <v>70000</v>
      </c>
      <c r="F19" s="58">
        <v>70000</v>
      </c>
      <c r="G19" s="58">
        <f>+'PA 3'!G18</f>
        <v>80000</v>
      </c>
      <c r="H19" s="58">
        <v>80000</v>
      </c>
      <c r="I19" s="58">
        <f t="shared" si="0"/>
        <v>230000</v>
      </c>
    </row>
    <row r="20" spans="1:9">
      <c r="A20" s="121" t="s">
        <v>41</v>
      </c>
      <c r="B20" s="122"/>
      <c r="C20" s="122"/>
      <c r="D20" s="123"/>
      <c r="E20" s="59">
        <f>+E17+E18+E19</f>
        <v>1405300</v>
      </c>
      <c r="F20" s="59">
        <f>+F17+F18+F19</f>
        <v>1531900</v>
      </c>
      <c r="G20" s="59">
        <f t="shared" ref="G20:H20" si="1">+G17+G18+G19</f>
        <v>1588400</v>
      </c>
      <c r="H20" s="59">
        <f t="shared" si="1"/>
        <v>1588400</v>
      </c>
      <c r="I20" s="59">
        <f t="shared" si="0"/>
        <v>4708700</v>
      </c>
    </row>
    <row r="21" spans="1:9">
      <c r="A21" s="49"/>
      <c r="B21" s="49"/>
      <c r="C21" s="49"/>
      <c r="D21" s="54"/>
      <c r="E21" s="55"/>
      <c r="F21" s="55"/>
      <c r="G21" s="55"/>
      <c r="H21" s="55"/>
    </row>
    <row r="22" spans="1:9">
      <c r="A22" s="49"/>
      <c r="B22" s="49"/>
      <c r="C22" s="49"/>
      <c r="D22" s="118"/>
      <c r="E22" s="118"/>
      <c r="F22" s="118"/>
      <c r="G22" s="50"/>
      <c r="I22" s="87"/>
    </row>
    <row r="23" spans="1:9">
      <c r="A23" s="49"/>
      <c r="B23" s="49"/>
      <c r="C23" s="49"/>
      <c r="D23" s="118"/>
      <c r="E23" s="118"/>
      <c r="F23" s="118"/>
      <c r="G23" s="50"/>
    </row>
    <row r="24" spans="1:9">
      <c r="C24" s="57"/>
      <c r="F24" s="87"/>
      <c r="G24" s="87"/>
      <c r="H24" s="87"/>
    </row>
    <row r="25" spans="1:9">
      <c r="C25" s="57"/>
      <c r="F25" s="87"/>
    </row>
    <row r="26" spans="1:9">
      <c r="C26" s="57"/>
      <c r="F26" s="87"/>
    </row>
    <row r="27" spans="1:9">
      <c r="C27" s="57"/>
    </row>
    <row r="28" spans="1:9">
      <c r="C28" s="37"/>
    </row>
  </sheetData>
  <mergeCells count="26">
    <mergeCell ref="D22:F22"/>
    <mergeCell ref="D23:F23"/>
    <mergeCell ref="B16:D16"/>
    <mergeCell ref="C17:D17"/>
    <mergeCell ref="C18:D18"/>
    <mergeCell ref="C19:D19"/>
    <mergeCell ref="A20:D20"/>
    <mergeCell ref="A1:I1"/>
    <mergeCell ref="C7:I7"/>
    <mergeCell ref="C5:I5"/>
    <mergeCell ref="C4:I4"/>
    <mergeCell ref="C3:I3"/>
    <mergeCell ref="C2:I2"/>
    <mergeCell ref="A5:B5"/>
    <mergeCell ref="A7:B7"/>
    <mergeCell ref="C6:I6"/>
    <mergeCell ref="A2:B2"/>
    <mergeCell ref="A3:B3"/>
    <mergeCell ref="A4:B4"/>
    <mergeCell ref="D9:I9"/>
    <mergeCell ref="A6:B6"/>
    <mergeCell ref="D15:F15"/>
    <mergeCell ref="B11:C14"/>
    <mergeCell ref="B9:C10"/>
    <mergeCell ref="A9:A10"/>
    <mergeCell ref="A11:A14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"/>
  <sheetViews>
    <sheetView view="pageBreakPreview" topLeftCell="A31" zoomScale="120" zoomScaleNormal="120" zoomScaleSheetLayoutView="120" workbookViewId="0">
      <selection activeCell="A47" sqref="A47:XFD49"/>
    </sheetView>
  </sheetViews>
  <sheetFormatPr defaultColWidth="8.85546875" defaultRowHeight="11.25"/>
  <cols>
    <col min="1" max="1" width="6.7109375" style="7" customWidth="1"/>
    <col min="2" max="2" width="17" style="33" customWidth="1"/>
    <col min="3" max="3" width="10.140625" style="33" customWidth="1"/>
    <col min="4" max="4" width="36.42578125" style="7" customWidth="1"/>
    <col min="5" max="5" width="13.42578125" style="7" hidden="1" customWidth="1"/>
    <col min="6" max="6" width="14" style="7" customWidth="1"/>
    <col min="7" max="7" width="14.85546875" style="7" customWidth="1"/>
    <col min="8" max="8" width="15.28515625" style="7" customWidth="1"/>
    <col min="9" max="9" width="19.85546875" style="7" customWidth="1"/>
    <col min="10" max="13" width="0" style="7" hidden="1" customWidth="1"/>
    <col min="14" max="16384" width="8.85546875" style="7"/>
  </cols>
  <sheetData>
    <row r="1" spans="1:13" ht="12" thickBot="1">
      <c r="A1" s="140" t="s">
        <v>127</v>
      </c>
      <c r="B1" s="141"/>
      <c r="C1" s="141"/>
      <c r="D1" s="141"/>
      <c r="E1" s="141"/>
      <c r="F1" s="141"/>
      <c r="G1" s="141"/>
      <c r="H1" s="141"/>
      <c r="I1" s="142"/>
    </row>
    <row r="2" spans="1:13">
      <c r="A2" s="143" t="s">
        <v>64</v>
      </c>
      <c r="B2" s="144"/>
      <c r="C2" s="145" t="s">
        <v>12</v>
      </c>
      <c r="D2" s="145"/>
      <c r="E2" s="145"/>
      <c r="F2" s="145"/>
      <c r="G2" s="145"/>
      <c r="H2" s="145"/>
      <c r="I2" s="146"/>
    </row>
    <row r="3" spans="1:13" s="8" customFormat="1" ht="12">
      <c r="A3" s="130" t="s">
        <v>65</v>
      </c>
      <c r="B3" s="131"/>
      <c r="C3" s="150" t="s">
        <v>66</v>
      </c>
      <c r="D3" s="150"/>
      <c r="E3" s="150"/>
      <c r="F3" s="150"/>
      <c r="G3" s="150"/>
      <c r="H3" s="150"/>
      <c r="I3" s="151"/>
    </row>
    <row r="4" spans="1:13">
      <c r="A4" s="154" t="s">
        <v>67</v>
      </c>
      <c r="B4" s="131"/>
      <c r="C4" s="152" t="s">
        <v>150</v>
      </c>
      <c r="D4" s="152"/>
      <c r="E4" s="152"/>
      <c r="F4" s="152"/>
      <c r="G4" s="152"/>
      <c r="H4" s="152"/>
      <c r="I4" s="153"/>
    </row>
    <row r="5" spans="1:13" ht="12">
      <c r="A5" s="130" t="s">
        <v>13</v>
      </c>
      <c r="B5" s="131"/>
      <c r="C5" s="156" t="s">
        <v>68</v>
      </c>
      <c r="D5" s="156"/>
      <c r="E5" s="156"/>
      <c r="F5" s="156"/>
      <c r="G5" s="156"/>
      <c r="H5" s="156"/>
      <c r="I5" s="157"/>
    </row>
    <row r="6" spans="1:13" ht="24.95" customHeight="1">
      <c r="A6" s="130" t="s">
        <v>15</v>
      </c>
      <c r="B6" s="131"/>
      <c r="C6" s="132" t="s">
        <v>153</v>
      </c>
      <c r="D6" s="132"/>
      <c r="E6" s="132"/>
      <c r="F6" s="132"/>
      <c r="G6" s="132"/>
      <c r="H6" s="132"/>
      <c r="I6" s="133"/>
    </row>
    <row r="7" spans="1:13" ht="27.75" customHeight="1">
      <c r="A7" s="130" t="s">
        <v>16</v>
      </c>
      <c r="B7" s="131"/>
      <c r="C7" s="132" t="s">
        <v>69</v>
      </c>
      <c r="D7" s="132"/>
      <c r="E7" s="132"/>
      <c r="F7" s="132"/>
      <c r="G7" s="132"/>
      <c r="H7" s="132"/>
      <c r="I7" s="133"/>
    </row>
    <row r="8" spans="1:13" ht="34.5" customHeight="1" thickBot="1">
      <c r="A8" s="135" t="s">
        <v>70</v>
      </c>
      <c r="B8" s="136"/>
      <c r="C8" s="137" t="s">
        <v>151</v>
      </c>
      <c r="D8" s="137"/>
      <c r="E8" s="137"/>
      <c r="F8" s="137"/>
      <c r="G8" s="137"/>
      <c r="H8" s="137"/>
      <c r="I8" s="138"/>
    </row>
    <row r="9" spans="1:13">
      <c r="A9" s="9"/>
      <c r="B9" s="10"/>
      <c r="C9" s="11"/>
      <c r="D9" s="9"/>
      <c r="E9" s="9"/>
      <c r="F9" s="9"/>
    </row>
    <row r="10" spans="1:13">
      <c r="A10" s="139"/>
      <c r="B10" s="125" t="s">
        <v>20</v>
      </c>
      <c r="C10" s="125"/>
      <c r="D10" s="125" t="s">
        <v>71</v>
      </c>
      <c r="E10" s="125"/>
      <c r="F10" s="125"/>
      <c r="G10" s="125"/>
      <c r="H10" s="125"/>
      <c r="I10" s="125"/>
      <c r="J10" s="7">
        <v>32605000</v>
      </c>
      <c r="M10" s="7">
        <v>27402000</v>
      </c>
    </row>
    <row r="11" spans="1:13" ht="31.5">
      <c r="A11" s="139"/>
      <c r="B11" s="125"/>
      <c r="C11" s="125"/>
      <c r="D11" s="12" t="s">
        <v>22</v>
      </c>
      <c r="E11" s="12" t="s">
        <v>144</v>
      </c>
      <c r="F11" s="12" t="s">
        <v>155</v>
      </c>
      <c r="G11" s="13" t="s">
        <v>25</v>
      </c>
      <c r="H11" s="13" t="s">
        <v>142</v>
      </c>
      <c r="I11" s="12" t="s">
        <v>26</v>
      </c>
      <c r="J11" s="7">
        <f>4000+8000+1500+8600</f>
        <v>22100</v>
      </c>
      <c r="M11" s="7">
        <f>8000+8000+1000+9000</f>
        <v>26000</v>
      </c>
    </row>
    <row r="12" spans="1:13" ht="45">
      <c r="A12" s="155">
        <v>1</v>
      </c>
      <c r="B12" s="134" t="s">
        <v>72</v>
      </c>
      <c r="C12" s="134"/>
      <c r="D12" s="14" t="s">
        <v>73</v>
      </c>
      <c r="E12" s="15" t="s">
        <v>145</v>
      </c>
      <c r="F12" s="15" t="s">
        <v>159</v>
      </c>
      <c r="G12" s="15" t="s">
        <v>157</v>
      </c>
      <c r="H12" s="15" t="s">
        <v>157</v>
      </c>
      <c r="I12" s="16" t="s">
        <v>33</v>
      </c>
      <c r="J12" s="7">
        <f>171000+330000+70000</f>
        <v>571000</v>
      </c>
      <c r="K12" s="7">
        <f>6000+30000+30000+85000+8000+14000+4000+15000</f>
        <v>192000</v>
      </c>
      <c r="L12" s="7">
        <f>182000+340000+71000</f>
        <v>593000</v>
      </c>
      <c r="M12" s="7">
        <f>6000+35000+35000+85000+6500+60000+6000+16700</f>
        <v>250200</v>
      </c>
    </row>
    <row r="13" spans="1:13" ht="22.5">
      <c r="A13" s="155"/>
      <c r="B13" s="134"/>
      <c r="C13" s="134"/>
      <c r="D13" s="16" t="s">
        <v>74</v>
      </c>
      <c r="E13" s="15" t="s">
        <v>147</v>
      </c>
      <c r="F13" s="15" t="s">
        <v>160</v>
      </c>
      <c r="G13" s="15" t="s">
        <v>158</v>
      </c>
      <c r="H13" s="15" t="s">
        <v>158</v>
      </c>
      <c r="I13" s="16" t="s">
        <v>33</v>
      </c>
      <c r="J13" s="7">
        <v>1112500</v>
      </c>
      <c r="K13" s="7">
        <v>1112500</v>
      </c>
      <c r="L13" s="7">
        <f>308000+694500+156900+54000</f>
        <v>1213400</v>
      </c>
      <c r="M13" s="7">
        <f>308000+694500+156900+54000</f>
        <v>1213400</v>
      </c>
    </row>
    <row r="14" spans="1:13" ht="33.75">
      <c r="A14" s="155"/>
      <c r="B14" s="134"/>
      <c r="C14" s="134"/>
      <c r="D14" s="16" t="s">
        <v>75</v>
      </c>
      <c r="E14" s="17" t="s">
        <v>2</v>
      </c>
      <c r="F14" s="17" t="s">
        <v>2</v>
      </c>
      <c r="G14" s="17" t="s">
        <v>5</v>
      </c>
      <c r="H14" s="17" t="s">
        <v>5</v>
      </c>
      <c r="I14" s="16" t="s">
        <v>76</v>
      </c>
      <c r="J14" s="7">
        <f>J12*100/J13</f>
        <v>51.325842696629216</v>
      </c>
      <c r="K14" s="7">
        <f>K12*100/K13</f>
        <v>17.258426966292134</v>
      </c>
      <c r="L14" s="7">
        <f>L12*100/L13</f>
        <v>48.87094115707928</v>
      </c>
      <c r="M14" s="7">
        <f>M12*100/M13</f>
        <v>20.619746167792979</v>
      </c>
    </row>
    <row r="15" spans="1:13" ht="22.5">
      <c r="A15" s="155"/>
      <c r="B15" s="134"/>
      <c r="C15" s="134"/>
      <c r="D15" s="16" t="s">
        <v>77</v>
      </c>
      <c r="E15" s="15" t="s">
        <v>146</v>
      </c>
      <c r="F15" s="92">
        <f>+F44*100/37200000</f>
        <v>3.6610215053763442</v>
      </c>
      <c r="G15" s="92">
        <f>+G54*100/32800000</f>
        <v>4.2939024390243903</v>
      </c>
      <c r="H15" s="92">
        <f>+H54*100/32800000</f>
        <v>4.2939024390243903</v>
      </c>
      <c r="I15" s="16" t="s">
        <v>33</v>
      </c>
      <c r="J15" s="7">
        <f>+J11*100/J13</f>
        <v>1.9865168539325844</v>
      </c>
      <c r="M15" s="7">
        <f>+M11*100/M13</f>
        <v>2.1427394099225316</v>
      </c>
    </row>
    <row r="16" spans="1:13" ht="26.1" customHeight="1">
      <c r="A16" s="18"/>
      <c r="B16" s="125" t="s">
        <v>20</v>
      </c>
      <c r="C16" s="125"/>
      <c r="D16" s="125" t="s">
        <v>71</v>
      </c>
      <c r="E16" s="125"/>
      <c r="F16" s="125"/>
      <c r="G16" s="125"/>
      <c r="H16" s="125"/>
      <c r="I16" s="125"/>
    </row>
    <row r="17" spans="1:13" ht="31.5">
      <c r="A17" s="19"/>
      <c r="B17" s="125"/>
      <c r="C17" s="125"/>
      <c r="D17" s="12" t="s">
        <v>22</v>
      </c>
      <c r="E17" s="12" t="s">
        <v>23</v>
      </c>
      <c r="F17" s="12" t="s">
        <v>155</v>
      </c>
      <c r="G17" s="89" t="s">
        <v>25</v>
      </c>
      <c r="H17" s="89" t="s">
        <v>142</v>
      </c>
      <c r="I17" s="12" t="s">
        <v>26</v>
      </c>
      <c r="J17" s="7">
        <f>+K12*100/K13</f>
        <v>17.258426966292134</v>
      </c>
      <c r="M17" s="7">
        <f>+M12*100/M13</f>
        <v>20.619746167792979</v>
      </c>
    </row>
    <row r="18" spans="1:13" ht="33.75">
      <c r="A18" s="155">
        <v>2</v>
      </c>
      <c r="B18" s="134" t="s">
        <v>78</v>
      </c>
      <c r="C18" s="134"/>
      <c r="D18" s="20" t="s">
        <v>79</v>
      </c>
      <c r="E18" s="21" t="s">
        <v>80</v>
      </c>
      <c r="F18" s="21" t="s">
        <v>80</v>
      </c>
      <c r="G18" s="21" t="s">
        <v>80</v>
      </c>
      <c r="H18" s="21" t="s">
        <v>80</v>
      </c>
      <c r="I18" s="16" t="s">
        <v>128</v>
      </c>
      <c r="J18" s="7">
        <f>+J11*100/J13</f>
        <v>1.9865168539325844</v>
      </c>
      <c r="M18" s="7">
        <f>+L12*100/L13</f>
        <v>48.87094115707928</v>
      </c>
    </row>
    <row r="19" spans="1:13" ht="38.25" customHeight="1">
      <c r="A19" s="155"/>
      <c r="B19" s="134"/>
      <c r="C19" s="134"/>
      <c r="D19" s="22" t="s">
        <v>81</v>
      </c>
      <c r="E19" s="21">
        <v>84000</v>
      </c>
      <c r="F19" s="21">
        <v>84000</v>
      </c>
      <c r="G19" s="21">
        <v>84000</v>
      </c>
      <c r="H19" s="21">
        <v>84000</v>
      </c>
      <c r="I19" s="16" t="s">
        <v>128</v>
      </c>
    </row>
    <row r="20" spans="1:13" ht="27" customHeight="1">
      <c r="A20" s="155"/>
      <c r="B20" s="134"/>
      <c r="C20" s="134"/>
      <c r="D20" s="20" t="s">
        <v>82</v>
      </c>
      <c r="E20" s="23">
        <f>27000*100/1260300</f>
        <v>2.1423470602237562</v>
      </c>
      <c r="F20" s="23">
        <f>+F53*100/F54</f>
        <v>1.1748292826198694</v>
      </c>
      <c r="G20" s="23">
        <f>+G53*100/G54</f>
        <v>2.4850894632206759</v>
      </c>
      <c r="H20" s="23">
        <f t="shared" ref="H20" si="0">26500*100/1348100</f>
        <v>1.965729545285958</v>
      </c>
      <c r="I20" s="16" t="s">
        <v>129</v>
      </c>
      <c r="J20" s="7">
        <f>+J13*100/J10</f>
        <v>3.412053366048152</v>
      </c>
      <c r="M20" s="7">
        <f>+M13*100/M10</f>
        <v>4.4281439310999193</v>
      </c>
    </row>
    <row r="21" spans="1:13" ht="24.75" customHeight="1">
      <c r="A21" s="155"/>
      <c r="B21" s="134"/>
      <c r="C21" s="134"/>
      <c r="D21" s="20" t="s">
        <v>83</v>
      </c>
      <c r="E21" s="21">
        <v>5.32</v>
      </c>
      <c r="F21" s="21">
        <v>5.32</v>
      </c>
      <c r="G21" s="21">
        <v>5.32</v>
      </c>
      <c r="H21" s="21">
        <v>5.32</v>
      </c>
      <c r="I21" s="16" t="s">
        <v>129</v>
      </c>
    </row>
    <row r="22" spans="1:13" ht="27.95" customHeight="1">
      <c r="A22" s="155"/>
      <c r="B22" s="134"/>
      <c r="C22" s="134"/>
      <c r="D22" s="20" t="s">
        <v>84</v>
      </c>
      <c r="E22" s="21">
        <v>58</v>
      </c>
      <c r="F22" s="21">
        <v>58</v>
      </c>
      <c r="G22" s="21">
        <v>58</v>
      </c>
      <c r="H22" s="21">
        <v>58</v>
      </c>
      <c r="I22" s="16" t="s">
        <v>129</v>
      </c>
    </row>
    <row r="23" spans="1:13" ht="33.75">
      <c r="A23" s="155"/>
      <c r="B23" s="134"/>
      <c r="C23" s="134"/>
      <c r="D23" s="20" t="s">
        <v>85</v>
      </c>
      <c r="E23" s="21">
        <v>4509.59</v>
      </c>
      <c r="F23" s="21">
        <v>4000</v>
      </c>
      <c r="G23" s="21">
        <v>4000</v>
      </c>
      <c r="H23" s="21">
        <v>4000</v>
      </c>
      <c r="I23" s="16" t="s">
        <v>129</v>
      </c>
    </row>
    <row r="24" spans="1:13">
      <c r="A24" s="19"/>
      <c r="B24" s="19"/>
      <c r="C24" s="19"/>
      <c r="D24" s="124"/>
      <c r="E24" s="124"/>
      <c r="F24" s="124"/>
      <c r="G24" s="24"/>
    </row>
    <row r="25" spans="1:13" ht="31.5">
      <c r="A25" s="25"/>
      <c r="B25" s="125" t="s">
        <v>47</v>
      </c>
      <c r="C25" s="125"/>
      <c r="D25" s="125"/>
      <c r="E25" s="26" t="s">
        <v>130</v>
      </c>
      <c r="F25" s="13" t="s">
        <v>35</v>
      </c>
      <c r="G25" s="13" t="s">
        <v>36</v>
      </c>
      <c r="H25" s="13" t="s">
        <v>131</v>
      </c>
      <c r="I25" s="13" t="s">
        <v>136</v>
      </c>
    </row>
    <row r="26" spans="1:13" s="30" customFormat="1">
      <c r="A26" s="27">
        <v>1</v>
      </c>
      <c r="B26" s="28">
        <v>411100</v>
      </c>
      <c r="C26" s="129" t="s">
        <v>48</v>
      </c>
      <c r="D26" s="129"/>
      <c r="E26" s="29">
        <f>198000+409000+74000</f>
        <v>681000</v>
      </c>
      <c r="F26" s="29">
        <f>175000+416700+74500</f>
        <v>666200</v>
      </c>
      <c r="G26" s="29">
        <f>204300+431500+85000</f>
        <v>720800</v>
      </c>
      <c r="H26" s="29">
        <f>204300+431500+85000</f>
        <v>720800</v>
      </c>
      <c r="I26" s="29">
        <f>SUM(F26:H26)</f>
        <v>2107800</v>
      </c>
    </row>
    <row r="27" spans="1:13" s="30" customFormat="1">
      <c r="A27" s="27">
        <v>2</v>
      </c>
      <c r="B27" s="28">
        <v>411200</v>
      </c>
      <c r="C27" s="129" t="s">
        <v>49</v>
      </c>
      <c r="D27" s="129"/>
      <c r="E27" s="29">
        <f>40000+80000+8600+2800</f>
        <v>131400</v>
      </c>
      <c r="F27" s="29">
        <f>41000+88000+2650+13500</f>
        <v>145150</v>
      </c>
      <c r="G27" s="29">
        <f>40000+95000+2000+12000</f>
        <v>149000</v>
      </c>
      <c r="H27" s="29">
        <f>40000+95000+2000+12000</f>
        <v>149000</v>
      </c>
      <c r="I27" s="29">
        <f t="shared" ref="I27:I43" si="1">SUM(F27:H27)</f>
        <v>443150</v>
      </c>
    </row>
    <row r="28" spans="1:13" s="30" customFormat="1">
      <c r="A28" s="27">
        <v>3</v>
      </c>
      <c r="B28" s="28">
        <v>411300</v>
      </c>
      <c r="C28" s="129" t="s">
        <v>50</v>
      </c>
      <c r="D28" s="129"/>
      <c r="E28" s="29">
        <f>2000+5000</f>
        <v>7000</v>
      </c>
      <c r="F28" s="29">
        <f>1000+7000</f>
        <v>8000</v>
      </c>
      <c r="G28" s="29">
        <f>3000+7000</f>
        <v>10000</v>
      </c>
      <c r="H28" s="29">
        <f>3000+7000</f>
        <v>10000</v>
      </c>
      <c r="I28" s="29">
        <f t="shared" si="1"/>
        <v>28000</v>
      </c>
    </row>
    <row r="29" spans="1:13" s="30" customFormat="1">
      <c r="A29" s="27">
        <v>4</v>
      </c>
      <c r="B29" s="28">
        <v>411400</v>
      </c>
      <c r="C29" s="129" t="s">
        <v>51</v>
      </c>
      <c r="D29" s="129"/>
      <c r="E29" s="31">
        <f>3000+4000+750</f>
        <v>7750</v>
      </c>
      <c r="F29" s="31">
        <f>5400+3000+3540</f>
        <v>11940</v>
      </c>
      <c r="G29" s="31">
        <f>3000+4000+1500</f>
        <v>8500</v>
      </c>
      <c r="H29" s="31">
        <f>3000+4000+1500</f>
        <v>8500</v>
      </c>
      <c r="I29" s="29">
        <f t="shared" si="1"/>
        <v>28940</v>
      </c>
    </row>
    <row r="30" spans="1:13" s="30" customFormat="1">
      <c r="A30" s="27">
        <v>5</v>
      </c>
      <c r="B30" s="28">
        <v>412200</v>
      </c>
      <c r="C30" s="129" t="s">
        <v>52</v>
      </c>
      <c r="D30" s="129"/>
      <c r="E30" s="31">
        <f>10000+80000+2200+9300</f>
        <v>101500</v>
      </c>
      <c r="F30" s="31">
        <f>10500+80000+3000+9620</f>
        <v>103120</v>
      </c>
      <c r="G30" s="31">
        <f>10000+90000+11400+3000</f>
        <v>114400</v>
      </c>
      <c r="H30" s="31">
        <f>10000+90000+11400+3000</f>
        <v>114400</v>
      </c>
      <c r="I30" s="29">
        <f t="shared" si="1"/>
        <v>331920</v>
      </c>
    </row>
    <row r="31" spans="1:13" s="30" customFormat="1">
      <c r="A31" s="27">
        <v>6</v>
      </c>
      <c r="B31" s="28">
        <v>412300</v>
      </c>
      <c r="C31" s="129" t="s">
        <v>53</v>
      </c>
      <c r="D31" s="129"/>
      <c r="E31" s="31">
        <f>3000+12000+200+4900</f>
        <v>20100</v>
      </c>
      <c r="F31" s="31">
        <f>3000+12000+350+6180</f>
        <v>21530</v>
      </c>
      <c r="G31" s="31">
        <f>3000+14000+5700+500</f>
        <v>23200</v>
      </c>
      <c r="H31" s="31">
        <f>3000+14000+5700+500</f>
        <v>23200</v>
      </c>
      <c r="I31" s="29">
        <f t="shared" si="1"/>
        <v>67930</v>
      </c>
    </row>
    <row r="32" spans="1:13" s="30" customFormat="1">
      <c r="A32" s="27">
        <v>7</v>
      </c>
      <c r="B32" s="28">
        <v>412400</v>
      </c>
      <c r="C32" s="129" t="s">
        <v>54</v>
      </c>
      <c r="D32" s="129"/>
      <c r="E32" s="31">
        <v>300</v>
      </c>
      <c r="F32" s="31">
        <v>370</v>
      </c>
      <c r="G32" s="31">
        <v>400</v>
      </c>
      <c r="H32" s="31">
        <v>400</v>
      </c>
      <c r="I32" s="29">
        <f t="shared" si="1"/>
        <v>1170</v>
      </c>
    </row>
    <row r="33" spans="1:11" s="30" customFormat="1">
      <c r="A33" s="27">
        <v>8</v>
      </c>
      <c r="B33" s="28">
        <v>412500</v>
      </c>
      <c r="C33" s="129" t="s">
        <v>55</v>
      </c>
      <c r="D33" s="129"/>
      <c r="E33" s="31">
        <f>6000+15000+100+1100</f>
        <v>22200</v>
      </c>
      <c r="F33" s="31">
        <f>22000+22000+200+400</f>
        <v>44600</v>
      </c>
      <c r="G33" s="31">
        <f>7500+30000+1000+200</f>
        <v>38700</v>
      </c>
      <c r="H33" s="31">
        <f>7500+30000+1000+200</f>
        <v>38700</v>
      </c>
      <c r="I33" s="29">
        <f t="shared" si="1"/>
        <v>122000</v>
      </c>
    </row>
    <row r="34" spans="1:11" s="30" customFormat="1">
      <c r="A34" s="27">
        <v>9</v>
      </c>
      <c r="B34" s="28">
        <v>412600</v>
      </c>
      <c r="C34" s="129" t="s">
        <v>56</v>
      </c>
      <c r="D34" s="129"/>
      <c r="E34" s="31">
        <f>9000+2000+1500+2300</f>
        <v>14800</v>
      </c>
      <c r="F34" s="31">
        <f>12500+2900+4000+2100</f>
        <v>21500</v>
      </c>
      <c r="G34" s="31">
        <f>10000+5000+3000+4000</f>
        <v>22000</v>
      </c>
      <c r="H34" s="31">
        <f>10000+5000+3000+4000</f>
        <v>22000</v>
      </c>
      <c r="I34" s="29">
        <f t="shared" si="1"/>
        <v>65500</v>
      </c>
    </row>
    <row r="35" spans="1:11" s="30" customFormat="1">
      <c r="A35" s="27">
        <v>10</v>
      </c>
      <c r="B35" s="28">
        <v>412700</v>
      </c>
      <c r="C35" s="129" t="s">
        <v>57</v>
      </c>
      <c r="D35" s="129"/>
      <c r="E35" s="31">
        <f>11000+25000+3700+4500</f>
        <v>44200</v>
      </c>
      <c r="F35" s="31">
        <f>29000+33000+4100+3100</f>
        <v>69200</v>
      </c>
      <c r="G35" s="31">
        <f>19000+35000+4000+2000</f>
        <v>60000</v>
      </c>
      <c r="H35" s="31">
        <f>19000+35000+4000+2000</f>
        <v>60000</v>
      </c>
      <c r="I35" s="29">
        <f t="shared" si="1"/>
        <v>189200</v>
      </c>
    </row>
    <row r="36" spans="1:11" s="30" customFormat="1">
      <c r="A36" s="27">
        <v>11</v>
      </c>
      <c r="B36" s="28">
        <v>412900</v>
      </c>
      <c r="C36" s="129" t="s">
        <v>58</v>
      </c>
      <c r="D36" s="129"/>
      <c r="E36" s="31">
        <f>50000+60000+54000+15700</f>
        <v>179700</v>
      </c>
      <c r="F36" s="31">
        <f>54000+60800+18350+62150</f>
        <v>195300</v>
      </c>
      <c r="G36" s="31">
        <f>48500+65000+16500+58500</f>
        <v>188500</v>
      </c>
      <c r="H36" s="31">
        <f>48500+65000+16500+58500</f>
        <v>188500</v>
      </c>
      <c r="I36" s="29">
        <f t="shared" si="1"/>
        <v>572300</v>
      </c>
    </row>
    <row r="37" spans="1:11" s="30" customFormat="1">
      <c r="A37" s="83"/>
      <c r="B37" s="28">
        <v>413900</v>
      </c>
      <c r="C37" s="129" t="s">
        <v>149</v>
      </c>
      <c r="D37" s="129"/>
      <c r="E37" s="31"/>
      <c r="F37" s="31">
        <v>100</v>
      </c>
      <c r="G37" s="31">
        <v>100</v>
      </c>
      <c r="H37" s="31">
        <v>100</v>
      </c>
      <c r="I37" s="29">
        <f t="shared" si="1"/>
        <v>300</v>
      </c>
    </row>
    <row r="38" spans="1:11" s="30" customFormat="1">
      <c r="A38" s="27">
        <v>12</v>
      </c>
      <c r="B38" s="28">
        <v>418400</v>
      </c>
      <c r="C38" s="129" t="s">
        <v>59</v>
      </c>
      <c r="D38" s="129"/>
      <c r="E38" s="31">
        <f>150+2000+700+300</f>
        <v>3150</v>
      </c>
      <c r="F38" s="31">
        <f>1500+1200+330</f>
        <v>3030</v>
      </c>
      <c r="G38" s="31">
        <f>100+2000+500+1000</f>
        <v>3600</v>
      </c>
      <c r="H38" s="31">
        <f>100+2000+500+1000</f>
        <v>3600</v>
      </c>
      <c r="I38" s="29">
        <f t="shared" si="1"/>
        <v>10230</v>
      </c>
    </row>
    <row r="39" spans="1:11" s="30" customFormat="1">
      <c r="A39" s="27">
        <v>13</v>
      </c>
      <c r="B39" s="28">
        <v>511200</v>
      </c>
      <c r="C39" s="129" t="s">
        <v>60</v>
      </c>
      <c r="D39" s="129"/>
      <c r="E39" s="31">
        <f>1000</f>
        <v>1000</v>
      </c>
      <c r="F39" s="31">
        <v>0</v>
      </c>
      <c r="G39" s="31">
        <v>3000</v>
      </c>
      <c r="H39" s="31">
        <v>3000</v>
      </c>
      <c r="I39" s="29">
        <f t="shared" si="1"/>
        <v>6000</v>
      </c>
    </row>
    <row r="40" spans="1:11" s="30" customFormat="1">
      <c r="A40" s="27">
        <v>14</v>
      </c>
      <c r="B40" s="28">
        <v>511300</v>
      </c>
      <c r="C40" s="129" t="s">
        <v>61</v>
      </c>
      <c r="D40" s="129"/>
      <c r="E40" s="31">
        <f>4000+8000+400+8800</f>
        <v>21200</v>
      </c>
      <c r="F40" s="31">
        <f>5400+18360+2000+10900</f>
        <v>36660</v>
      </c>
      <c r="G40" s="31">
        <f>4000+2500+28000+10500+900</f>
        <v>45900</v>
      </c>
      <c r="H40" s="31">
        <f>4000+2500+28000+10500+900</f>
        <v>45900</v>
      </c>
      <c r="I40" s="29">
        <f t="shared" si="1"/>
        <v>128460</v>
      </c>
    </row>
    <row r="41" spans="1:11" s="30" customFormat="1">
      <c r="A41" s="27">
        <v>15</v>
      </c>
      <c r="B41" s="28">
        <v>516100</v>
      </c>
      <c r="C41" s="129" t="s">
        <v>133</v>
      </c>
      <c r="D41" s="126"/>
      <c r="E41" s="31">
        <f>350+500+150</f>
        <v>1000</v>
      </c>
      <c r="F41" s="31">
        <f>4800</f>
        <v>4800</v>
      </c>
      <c r="G41" s="31">
        <f>1000+2000+300</f>
        <v>3300</v>
      </c>
      <c r="H41" s="31">
        <f>1000+2000+300</f>
        <v>3300</v>
      </c>
      <c r="I41" s="29">
        <f t="shared" si="1"/>
        <v>11400</v>
      </c>
    </row>
    <row r="42" spans="1:11" s="30" customFormat="1">
      <c r="A42" s="27">
        <v>16</v>
      </c>
      <c r="B42" s="28">
        <v>631000</v>
      </c>
      <c r="C42" s="129" t="s">
        <v>62</v>
      </c>
      <c r="D42" s="126"/>
      <c r="E42" s="31">
        <f>6000</f>
        <v>6000</v>
      </c>
      <c r="F42" s="31">
        <v>4000</v>
      </c>
      <c r="G42" s="31">
        <v>4000</v>
      </c>
      <c r="H42" s="31">
        <v>4000</v>
      </c>
      <c r="I42" s="29">
        <f t="shared" si="1"/>
        <v>12000</v>
      </c>
    </row>
    <row r="43" spans="1:11" s="30" customFormat="1">
      <c r="A43" s="27">
        <v>17</v>
      </c>
      <c r="B43" s="28">
        <v>638000</v>
      </c>
      <c r="C43" s="129" t="s">
        <v>63</v>
      </c>
      <c r="D43" s="129"/>
      <c r="E43" s="31">
        <f>2000+16000</f>
        <v>18000</v>
      </c>
      <c r="F43" s="31">
        <f>1000+25400</f>
        <v>26400</v>
      </c>
      <c r="G43" s="31">
        <f>3000+10000</f>
        <v>13000</v>
      </c>
      <c r="H43" s="31">
        <f>3000+10000</f>
        <v>13000</v>
      </c>
      <c r="I43" s="29">
        <f t="shared" si="1"/>
        <v>52400</v>
      </c>
    </row>
    <row r="44" spans="1:11">
      <c r="A44" s="147" t="s">
        <v>41</v>
      </c>
      <c r="B44" s="148"/>
      <c r="C44" s="148"/>
      <c r="D44" s="149"/>
      <c r="E44" s="31">
        <f>+SUM(E26:E43)</f>
        <v>1260300</v>
      </c>
      <c r="F44" s="31">
        <f>+SUM(F26:F43)</f>
        <v>1361900</v>
      </c>
      <c r="G44" s="31">
        <f t="shared" ref="G44:H44" si="2">+SUM(G26:G43)</f>
        <v>1408400</v>
      </c>
      <c r="H44" s="31">
        <f t="shared" si="2"/>
        <v>1408400</v>
      </c>
      <c r="I44" s="31">
        <f>SUM(I26:I43)</f>
        <v>4178700</v>
      </c>
      <c r="K44" s="32">
        <f>+F44-M13</f>
        <v>148500</v>
      </c>
    </row>
    <row r="45" spans="1:11">
      <c r="A45" s="93"/>
      <c r="B45" s="93"/>
      <c r="C45" s="93"/>
      <c r="D45" s="93"/>
      <c r="E45" s="94"/>
      <c r="F45" s="94"/>
      <c r="G45" s="94"/>
      <c r="H45" s="94"/>
      <c r="I45" s="94"/>
      <c r="K45" s="32"/>
    </row>
    <row r="46" spans="1:11">
      <c r="A46" s="93"/>
      <c r="B46" s="93"/>
      <c r="C46" s="93"/>
      <c r="D46" s="93"/>
      <c r="E46" s="94"/>
      <c r="F46" s="94"/>
      <c r="G46" s="94"/>
      <c r="H46" s="94"/>
      <c r="I46" s="94"/>
      <c r="K46" s="32"/>
    </row>
    <row r="47" spans="1:11" hidden="1">
      <c r="A47" s="93"/>
      <c r="B47" s="93"/>
      <c r="C47" s="93"/>
      <c r="D47" s="93"/>
      <c r="E47" s="94"/>
      <c r="F47" s="94">
        <f>+(29000+54000+33000+60800+4100+62150+3100+18350)*100/F54</f>
        <v>19.421396578309714</v>
      </c>
      <c r="G47" s="94">
        <f>+(19000+48500+35000+65000+4000+16500+2000+58500)*100/1408400</f>
        <v>17.644135188866798</v>
      </c>
      <c r="H47" s="94">
        <f t="shared" ref="H47" si="3">+(19000+48500+35000+65000+4000+16500+2000+58500)</f>
        <v>248500</v>
      </c>
      <c r="I47" s="94"/>
      <c r="K47" s="32"/>
    </row>
    <row r="48" spans="1:11" hidden="1">
      <c r="A48" s="93"/>
      <c r="B48" s="93"/>
      <c r="C48" s="93"/>
      <c r="D48" s="93"/>
      <c r="E48" s="94"/>
      <c r="F48" s="94">
        <f>+(222400-41000-5400+1000+515240-88000-3540+25400+91000-13500)*100/F54</f>
        <v>51.663117703208755</v>
      </c>
      <c r="G48" s="94">
        <f>+(250300-40000-3000+3000+537500-95000-4000+10000+98500-12000)*100/G54</f>
        <v>52.918205055381996</v>
      </c>
      <c r="H48" s="94"/>
      <c r="I48" s="94"/>
      <c r="K48" s="32"/>
    </row>
    <row r="49" spans="1:11" hidden="1">
      <c r="A49" s="93"/>
      <c r="B49" s="93"/>
      <c r="C49" s="93"/>
      <c r="D49" s="93"/>
      <c r="E49" s="94"/>
      <c r="F49" s="94">
        <f>+(5400+23160+2000+10900)*100/F54</f>
        <v>3.0442763785887363</v>
      </c>
      <c r="G49" s="94">
        <f>+(10500+30000+10500+1200)*100/G54</f>
        <v>3.7063334280034081</v>
      </c>
      <c r="H49" s="94"/>
      <c r="I49" s="94"/>
      <c r="K49" s="32"/>
    </row>
    <row r="50" spans="1:11" ht="6" customHeight="1">
      <c r="E50" s="34"/>
      <c r="F50" s="34"/>
      <c r="G50" s="24"/>
    </row>
    <row r="51" spans="1:11" ht="31.5">
      <c r="A51" s="25"/>
      <c r="B51" s="125" t="s">
        <v>42</v>
      </c>
      <c r="C51" s="125"/>
      <c r="D51" s="125"/>
      <c r="E51" s="13" t="s">
        <v>134</v>
      </c>
      <c r="F51" s="13" t="s">
        <v>43</v>
      </c>
      <c r="G51" s="13" t="s">
        <v>44</v>
      </c>
      <c r="H51" s="13" t="s">
        <v>135</v>
      </c>
      <c r="I51" s="13" t="s">
        <v>136</v>
      </c>
    </row>
    <row r="52" spans="1:11">
      <c r="A52" s="27">
        <v>1</v>
      </c>
      <c r="B52" s="126" t="s">
        <v>45</v>
      </c>
      <c r="C52" s="127"/>
      <c r="D52" s="128"/>
      <c r="E52" s="31">
        <f>340000+724000+146300+50000-E53</f>
        <v>1233300</v>
      </c>
      <c r="F52" s="31">
        <f>1361900-16000</f>
        <v>1345900</v>
      </c>
      <c r="G52" s="31">
        <f>1408400-35000</f>
        <v>1373400</v>
      </c>
      <c r="H52" s="31">
        <f>1408400-35000</f>
        <v>1373400</v>
      </c>
      <c r="I52" s="31">
        <f>SUM(F52:H52)</f>
        <v>4092700</v>
      </c>
    </row>
    <row r="53" spans="1:11">
      <c r="A53" s="27">
        <v>2</v>
      </c>
      <c r="B53" s="126" t="s">
        <v>46</v>
      </c>
      <c r="C53" s="127"/>
      <c r="D53" s="128"/>
      <c r="E53" s="31">
        <f>1500+2000+20000+3500</f>
        <v>27000</v>
      </c>
      <c r="F53" s="31">
        <v>16000</v>
      </c>
      <c r="G53" s="31">
        <f>2000+10000+20000+3000</f>
        <v>35000</v>
      </c>
      <c r="H53" s="31">
        <f>2000+10000+20000+3000</f>
        <v>35000</v>
      </c>
      <c r="I53" s="31">
        <f t="shared" ref="I53:I54" si="4">SUM(F53:H53)</f>
        <v>86000</v>
      </c>
    </row>
    <row r="54" spans="1:11">
      <c r="A54" s="147" t="s">
        <v>41</v>
      </c>
      <c r="B54" s="148"/>
      <c r="C54" s="148"/>
      <c r="D54" s="149"/>
      <c r="E54" s="31">
        <f>+E52+E53</f>
        <v>1260300</v>
      </c>
      <c r="F54" s="31">
        <f>F52+F53</f>
        <v>1361900</v>
      </c>
      <c r="G54" s="31">
        <f>G52+G53</f>
        <v>1408400</v>
      </c>
      <c r="H54" s="31">
        <f>H52+H53</f>
        <v>1408400</v>
      </c>
      <c r="I54" s="31">
        <f t="shared" si="4"/>
        <v>4178700</v>
      </c>
    </row>
    <row r="56" spans="1:11">
      <c r="E56" s="35"/>
      <c r="F56" s="35"/>
    </row>
    <row r="58" spans="1:11">
      <c r="E58" s="36"/>
      <c r="F58" s="36"/>
      <c r="G58" s="36"/>
      <c r="H58" s="36"/>
    </row>
    <row r="59" spans="1:11">
      <c r="E59" s="36"/>
      <c r="F59" s="36"/>
      <c r="G59" s="36"/>
      <c r="H59" s="36"/>
    </row>
    <row r="60" spans="1:11">
      <c r="E60" s="36"/>
      <c r="F60" s="36"/>
      <c r="G60" s="36"/>
      <c r="H60" s="36"/>
    </row>
    <row r="61" spans="1:11">
      <c r="E61" s="36"/>
      <c r="F61" s="36"/>
      <c r="G61" s="36"/>
      <c r="H61" s="36"/>
    </row>
    <row r="62" spans="1:11">
      <c r="E62" s="36"/>
      <c r="F62" s="36"/>
      <c r="G62" s="36"/>
      <c r="H62" s="36"/>
    </row>
  </sheetData>
  <mergeCells count="49">
    <mergeCell ref="A54:D54"/>
    <mergeCell ref="C36:D36"/>
    <mergeCell ref="C38:D38"/>
    <mergeCell ref="C41:D41"/>
    <mergeCell ref="C40:D40"/>
    <mergeCell ref="C39:D39"/>
    <mergeCell ref="A1:I1"/>
    <mergeCell ref="A2:B2"/>
    <mergeCell ref="C2:I2"/>
    <mergeCell ref="C42:D42"/>
    <mergeCell ref="A44:D44"/>
    <mergeCell ref="B16:C17"/>
    <mergeCell ref="A3:B3"/>
    <mergeCell ref="C3:I3"/>
    <mergeCell ref="C4:I4"/>
    <mergeCell ref="A4:B4"/>
    <mergeCell ref="C35:D35"/>
    <mergeCell ref="A12:A15"/>
    <mergeCell ref="B12:C15"/>
    <mergeCell ref="A18:A23"/>
    <mergeCell ref="A5:B5"/>
    <mergeCell ref="C5:I5"/>
    <mergeCell ref="A6:B6"/>
    <mergeCell ref="C6:I6"/>
    <mergeCell ref="A7:B7"/>
    <mergeCell ref="C7:I7"/>
    <mergeCell ref="B18:C23"/>
    <mergeCell ref="A8:B8"/>
    <mergeCell ref="C8:I8"/>
    <mergeCell ref="A10:A11"/>
    <mergeCell ref="B10:C11"/>
    <mergeCell ref="D10:I10"/>
    <mergeCell ref="D16:I16"/>
    <mergeCell ref="D24:F24"/>
    <mergeCell ref="B25:D25"/>
    <mergeCell ref="B53:D53"/>
    <mergeCell ref="B52:D52"/>
    <mergeCell ref="C29:D29"/>
    <mergeCell ref="B51:D51"/>
    <mergeCell ref="C28:D28"/>
    <mergeCell ref="C26:D26"/>
    <mergeCell ref="C27:D27"/>
    <mergeCell ref="C30:D30"/>
    <mergeCell ref="C31:D31"/>
    <mergeCell ref="C33:D33"/>
    <mergeCell ref="C32:D32"/>
    <mergeCell ref="C34:D34"/>
    <mergeCell ref="C43:D43"/>
    <mergeCell ref="C37:D37"/>
  </mergeCells>
  <printOptions horizontalCentered="1"/>
  <pageMargins left="0" right="0" top="0" bottom="0.19685039370078741" header="0.51181102362204722" footer="0.51181102362204722"/>
  <pageSetup paperSize="9" scale="9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24" sqref="G24"/>
    </sheetView>
  </sheetViews>
  <sheetFormatPr defaultColWidth="11.42578125" defaultRowHeight="12.75"/>
  <cols>
    <col min="1" max="1" width="11.42578125" style="1" customWidth="1"/>
    <col min="2" max="2" width="10" style="1" customWidth="1"/>
    <col min="3" max="3" width="17.140625" style="1" customWidth="1"/>
    <col min="4" max="4" width="26.28515625" style="1" customWidth="1"/>
    <col min="5" max="5" width="13" style="1" hidden="1" customWidth="1"/>
    <col min="6" max="6" width="14.28515625" style="1" customWidth="1"/>
    <col min="7" max="7" width="13.28515625" style="1" customWidth="1"/>
    <col min="8" max="8" width="12.85546875" style="1" customWidth="1"/>
    <col min="9" max="9" width="13.28515625" style="1" customWidth="1"/>
    <col min="10" max="16384" width="11.42578125" style="1"/>
  </cols>
  <sheetData>
    <row r="1" spans="1:9" ht="36" customHeight="1" thickBot="1">
      <c r="A1" s="160" t="s">
        <v>93</v>
      </c>
      <c r="B1" s="161"/>
      <c r="C1" s="161"/>
      <c r="D1" s="161"/>
      <c r="E1" s="161"/>
      <c r="F1" s="161"/>
      <c r="G1" s="161"/>
      <c r="H1" s="161"/>
      <c r="I1" s="162"/>
    </row>
    <row r="2" spans="1:9" ht="51">
      <c r="A2" s="2"/>
      <c r="B2" s="163" t="s">
        <v>86</v>
      </c>
      <c r="C2" s="163"/>
      <c r="D2" s="163"/>
      <c r="E2" s="5" t="s">
        <v>137</v>
      </c>
      <c r="F2" s="90" t="s">
        <v>161</v>
      </c>
      <c r="G2" s="5" t="s">
        <v>138</v>
      </c>
      <c r="H2" s="5" t="s">
        <v>139</v>
      </c>
      <c r="I2" s="5" t="s">
        <v>136</v>
      </c>
    </row>
    <row r="3" spans="1:9">
      <c r="A3" s="3">
        <v>1</v>
      </c>
      <c r="B3" s="4" t="s">
        <v>87</v>
      </c>
      <c r="C3" s="159" t="s">
        <v>88</v>
      </c>
      <c r="D3" s="159"/>
      <c r="E3" s="6">
        <v>340000</v>
      </c>
      <c r="F3" s="60">
        <v>359900</v>
      </c>
      <c r="G3" s="60">
        <v>362000</v>
      </c>
      <c r="H3" s="60">
        <v>362000</v>
      </c>
      <c r="I3" s="6">
        <f>SUM(F3:H3)</f>
        <v>1083900</v>
      </c>
    </row>
    <row r="4" spans="1:9">
      <c r="A4" s="3">
        <v>2</v>
      </c>
      <c r="B4" s="4" t="s">
        <v>87</v>
      </c>
      <c r="C4" s="159" t="s">
        <v>89</v>
      </c>
      <c r="D4" s="159"/>
      <c r="E4" s="6">
        <v>724000</v>
      </c>
      <c r="F4" s="60">
        <v>780000</v>
      </c>
      <c r="G4" s="60">
        <v>822500</v>
      </c>
      <c r="H4" s="60">
        <v>822500</v>
      </c>
      <c r="I4" s="6">
        <f t="shared" ref="I4:I6" si="0">SUM(F4:H4)</f>
        <v>2425000</v>
      </c>
    </row>
    <row r="5" spans="1:9">
      <c r="A5" s="3">
        <v>3</v>
      </c>
      <c r="B5" s="4" t="s">
        <v>87</v>
      </c>
      <c r="C5" s="159" t="s">
        <v>90</v>
      </c>
      <c r="D5" s="159"/>
      <c r="E5" s="6">
        <v>50000</v>
      </c>
      <c r="F5" s="6">
        <v>54000</v>
      </c>
      <c r="G5" s="6">
        <v>55000</v>
      </c>
      <c r="H5" s="6">
        <v>55000</v>
      </c>
      <c r="I5" s="6">
        <f>SUM(F5:H5)</f>
        <v>164000</v>
      </c>
    </row>
    <row r="6" spans="1:9">
      <c r="A6" s="3">
        <v>4</v>
      </c>
      <c r="B6" s="4" t="s">
        <v>87</v>
      </c>
      <c r="C6" s="159" t="s">
        <v>91</v>
      </c>
      <c r="D6" s="159"/>
      <c r="E6" s="6">
        <v>146300</v>
      </c>
      <c r="F6" s="60">
        <v>168000</v>
      </c>
      <c r="G6" s="60">
        <v>168900</v>
      </c>
      <c r="H6" s="60">
        <v>168900</v>
      </c>
      <c r="I6" s="6">
        <f t="shared" si="0"/>
        <v>505800</v>
      </c>
    </row>
    <row r="7" spans="1:9">
      <c r="A7" s="158" t="s">
        <v>92</v>
      </c>
      <c r="B7" s="158"/>
      <c r="C7" s="158"/>
      <c r="D7" s="158"/>
      <c r="E7" s="61">
        <f>SUM(E3:E6)</f>
        <v>1260300</v>
      </c>
      <c r="F7" s="61">
        <f t="shared" ref="F7:I7" si="1">SUM(F3:F6)</f>
        <v>1361900</v>
      </c>
      <c r="G7" s="61">
        <f t="shared" si="1"/>
        <v>1408400</v>
      </c>
      <c r="H7" s="61">
        <f t="shared" si="1"/>
        <v>1408400</v>
      </c>
      <c r="I7" s="61">
        <f t="shared" si="1"/>
        <v>4178700</v>
      </c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view="pageBreakPreview" topLeftCell="C16" zoomScale="120" zoomScaleNormal="106" zoomScaleSheetLayoutView="120" workbookViewId="0">
      <selection activeCell="F12" sqref="F12"/>
    </sheetView>
  </sheetViews>
  <sheetFormatPr defaultColWidth="8.85546875" defaultRowHeight="11.25"/>
  <cols>
    <col min="1" max="1" width="6.7109375" style="37" customWidth="1"/>
    <col min="2" max="2" width="17" style="56" customWidth="1"/>
    <col min="3" max="3" width="28.28515625" style="56" customWidth="1"/>
    <col min="4" max="4" width="34.7109375" style="37" customWidth="1"/>
    <col min="5" max="5" width="10.85546875" style="37" hidden="1" customWidth="1"/>
    <col min="6" max="6" width="10.7109375" style="37" customWidth="1"/>
    <col min="7" max="7" width="10.42578125" style="37" customWidth="1"/>
    <col min="8" max="8" width="11.42578125" style="37" customWidth="1"/>
    <col min="9" max="9" width="23.140625" style="37" customWidth="1"/>
    <col min="10" max="16384" width="8.85546875" style="37"/>
  </cols>
  <sheetData>
    <row r="1" spans="1:9" ht="12" thickBot="1">
      <c r="A1" s="102" t="s">
        <v>127</v>
      </c>
      <c r="B1" s="103"/>
      <c r="C1" s="103"/>
      <c r="D1" s="103"/>
      <c r="E1" s="103"/>
      <c r="F1" s="103"/>
      <c r="G1" s="103"/>
      <c r="H1" s="103"/>
      <c r="I1" s="104"/>
    </row>
    <row r="2" spans="1:9" s="69" customFormat="1" ht="15" customHeight="1">
      <c r="A2" s="167" t="s">
        <v>95</v>
      </c>
      <c r="B2" s="168"/>
      <c r="C2" s="169" t="s">
        <v>12</v>
      </c>
      <c r="D2" s="169"/>
      <c r="E2" s="169"/>
      <c r="F2" s="169"/>
      <c r="G2" s="169"/>
      <c r="H2" s="169"/>
      <c r="I2" s="170"/>
    </row>
    <row r="3" spans="1:9" s="69" customFormat="1" ht="12">
      <c r="A3" s="96" t="s">
        <v>65</v>
      </c>
      <c r="B3" s="171"/>
      <c r="C3" s="172" t="s">
        <v>39</v>
      </c>
      <c r="D3" s="172"/>
      <c r="E3" s="172"/>
      <c r="F3" s="172"/>
      <c r="G3" s="172"/>
      <c r="H3" s="172"/>
      <c r="I3" s="173"/>
    </row>
    <row r="4" spans="1:9" s="69" customFormat="1">
      <c r="A4" s="96" t="s">
        <v>67</v>
      </c>
      <c r="B4" s="171"/>
      <c r="C4" s="107" t="s">
        <v>150</v>
      </c>
      <c r="D4" s="107"/>
      <c r="E4" s="107"/>
      <c r="F4" s="107"/>
      <c r="G4" s="107"/>
      <c r="H4" s="107"/>
      <c r="I4" s="108"/>
    </row>
    <row r="5" spans="1:9" s="69" customFormat="1" ht="12">
      <c r="A5" s="96" t="s">
        <v>13</v>
      </c>
      <c r="B5" s="171"/>
      <c r="C5" s="172" t="s">
        <v>96</v>
      </c>
      <c r="D5" s="172"/>
      <c r="E5" s="172"/>
      <c r="F5" s="172"/>
      <c r="G5" s="172"/>
      <c r="H5" s="172"/>
      <c r="I5" s="173"/>
    </row>
    <row r="6" spans="1:9" s="69" customFormat="1" ht="24" customHeight="1">
      <c r="A6" s="96" t="s">
        <v>15</v>
      </c>
      <c r="B6" s="171"/>
      <c r="C6" s="107" t="s">
        <v>152</v>
      </c>
      <c r="D6" s="107"/>
      <c r="E6" s="107"/>
      <c r="F6" s="107"/>
      <c r="G6" s="107"/>
      <c r="H6" s="107"/>
      <c r="I6" s="108"/>
    </row>
    <row r="7" spans="1:9" s="69" customFormat="1" ht="27.95" customHeight="1">
      <c r="A7" s="96" t="s">
        <v>16</v>
      </c>
      <c r="B7" s="171"/>
      <c r="C7" s="107" t="s">
        <v>97</v>
      </c>
      <c r="D7" s="107"/>
      <c r="E7" s="107"/>
      <c r="F7" s="107"/>
      <c r="G7" s="107"/>
      <c r="H7" s="107"/>
      <c r="I7" s="108"/>
    </row>
    <row r="8" spans="1:9" s="69" customFormat="1" ht="32.25" customHeight="1" thickBot="1">
      <c r="A8" s="114" t="s">
        <v>98</v>
      </c>
      <c r="B8" s="174"/>
      <c r="C8" s="175" t="s">
        <v>151</v>
      </c>
      <c r="D8" s="175"/>
      <c r="E8" s="175"/>
      <c r="F8" s="175"/>
      <c r="G8" s="175"/>
      <c r="H8" s="175"/>
      <c r="I8" s="176"/>
    </row>
    <row r="9" spans="1:9">
      <c r="A9" s="38"/>
      <c r="B9" s="39"/>
      <c r="C9" s="40"/>
      <c r="D9" s="38"/>
      <c r="E9" s="38"/>
      <c r="F9" s="38"/>
    </row>
    <row r="10" spans="1:9">
      <c r="A10" s="177"/>
      <c r="B10" s="179" t="s">
        <v>20</v>
      </c>
      <c r="C10" s="180"/>
      <c r="D10" s="95" t="s">
        <v>71</v>
      </c>
      <c r="E10" s="95"/>
      <c r="F10" s="95"/>
      <c r="G10" s="95"/>
      <c r="H10" s="95"/>
      <c r="I10" s="95"/>
    </row>
    <row r="11" spans="1:9" ht="42">
      <c r="A11" s="178"/>
      <c r="B11" s="181"/>
      <c r="C11" s="182"/>
      <c r="D11" s="41" t="s">
        <v>22</v>
      </c>
      <c r="E11" s="62" t="s">
        <v>144</v>
      </c>
      <c r="F11" s="62" t="s">
        <v>155</v>
      </c>
      <c r="G11" s="62" t="s">
        <v>25</v>
      </c>
      <c r="H11" s="62" t="s">
        <v>142</v>
      </c>
      <c r="I11" s="42" t="s">
        <v>26</v>
      </c>
    </row>
    <row r="12" spans="1:9" ht="45">
      <c r="A12" s="101">
        <v>1</v>
      </c>
      <c r="B12" s="99" t="s">
        <v>99</v>
      </c>
      <c r="C12" s="99"/>
      <c r="D12" s="63" t="s">
        <v>100</v>
      </c>
      <c r="E12" s="64" t="s">
        <v>101</v>
      </c>
      <c r="F12" s="64" t="s">
        <v>102</v>
      </c>
      <c r="G12" s="64" t="s">
        <v>102</v>
      </c>
      <c r="H12" s="64" t="s">
        <v>102</v>
      </c>
      <c r="I12" s="47" t="s">
        <v>103</v>
      </c>
    </row>
    <row r="13" spans="1:9" ht="33.75">
      <c r="A13" s="101"/>
      <c r="B13" s="99"/>
      <c r="C13" s="99"/>
      <c r="D13" s="63" t="s">
        <v>148</v>
      </c>
      <c r="E13" s="45">
        <v>1350</v>
      </c>
      <c r="F13" s="45">
        <v>1400</v>
      </c>
      <c r="G13" s="45">
        <v>1400</v>
      </c>
      <c r="H13" s="45">
        <v>1400</v>
      </c>
      <c r="I13" s="47" t="s">
        <v>103</v>
      </c>
    </row>
    <row r="14" spans="1:9" ht="33.75">
      <c r="A14" s="101"/>
      <c r="B14" s="99"/>
      <c r="C14" s="99"/>
      <c r="D14" s="63" t="s">
        <v>104</v>
      </c>
      <c r="E14" s="45">
        <v>58</v>
      </c>
      <c r="F14" s="45">
        <v>63</v>
      </c>
      <c r="G14" s="45">
        <v>64</v>
      </c>
      <c r="H14" s="45">
        <v>65</v>
      </c>
      <c r="I14" s="47" t="s">
        <v>103</v>
      </c>
    </row>
    <row r="15" spans="1:9" ht="22.5">
      <c r="A15" s="101"/>
      <c r="B15" s="99"/>
      <c r="C15" s="99"/>
      <c r="D15" s="63" t="s">
        <v>105</v>
      </c>
      <c r="E15" s="44" t="s">
        <v>0</v>
      </c>
      <c r="F15" s="44" t="s">
        <v>1</v>
      </c>
      <c r="G15" s="44" t="s">
        <v>6</v>
      </c>
      <c r="H15" s="44" t="s">
        <v>7</v>
      </c>
      <c r="I15" s="63" t="s">
        <v>76</v>
      </c>
    </row>
    <row r="16" spans="1:9">
      <c r="A16" s="49"/>
      <c r="B16" s="49"/>
      <c r="C16" s="49"/>
      <c r="D16" s="166"/>
      <c r="E16" s="166"/>
      <c r="F16" s="166"/>
      <c r="G16" s="50"/>
    </row>
    <row r="17" spans="1:9" ht="42">
      <c r="A17" s="51"/>
      <c r="B17" s="95" t="s">
        <v>106</v>
      </c>
      <c r="C17" s="95"/>
      <c r="D17" s="95"/>
      <c r="E17" s="42" t="s">
        <v>137</v>
      </c>
      <c r="F17" s="88" t="s">
        <v>161</v>
      </c>
      <c r="G17" s="42" t="s">
        <v>94</v>
      </c>
      <c r="H17" s="42" t="s">
        <v>139</v>
      </c>
      <c r="I17" s="42" t="s">
        <v>136</v>
      </c>
    </row>
    <row r="18" spans="1:9" s="67" customFormat="1">
      <c r="A18" s="52">
        <v>1</v>
      </c>
      <c r="B18" s="65">
        <v>412500</v>
      </c>
      <c r="C18" s="119" t="s">
        <v>107</v>
      </c>
      <c r="D18" s="119"/>
      <c r="E18" s="66">
        <v>75000</v>
      </c>
      <c r="F18" s="66">
        <v>100000</v>
      </c>
      <c r="G18" s="66">
        <v>100000</v>
      </c>
      <c r="H18" s="66">
        <v>100000</v>
      </c>
      <c r="I18" s="66">
        <f>SUM(F18:H18)</f>
        <v>300000</v>
      </c>
    </row>
    <row r="19" spans="1:9">
      <c r="A19" s="121" t="s">
        <v>41</v>
      </c>
      <c r="B19" s="122"/>
      <c r="C19" s="122"/>
      <c r="D19" s="123"/>
      <c r="E19" s="68">
        <f>+E18</f>
        <v>75000</v>
      </c>
      <c r="F19" s="68">
        <f>+F18</f>
        <v>100000</v>
      </c>
      <c r="G19" s="68">
        <f>+G18</f>
        <v>100000</v>
      </c>
      <c r="H19" s="68">
        <f>+H18</f>
        <v>100000</v>
      </c>
      <c r="I19" s="68">
        <f t="shared" ref="I19" si="0">SUM(F19:H19)</f>
        <v>300000</v>
      </c>
    </row>
    <row r="20" spans="1:9">
      <c r="E20" s="54"/>
      <c r="F20" s="54"/>
      <c r="G20" s="50"/>
    </row>
    <row r="21" spans="1:9" ht="42">
      <c r="A21" s="51"/>
      <c r="B21" s="95" t="s">
        <v>42</v>
      </c>
      <c r="C21" s="95"/>
      <c r="D21" s="95"/>
      <c r="E21" s="42" t="s">
        <v>140</v>
      </c>
      <c r="F21" s="42" t="s">
        <v>108</v>
      </c>
      <c r="G21" s="42" t="s">
        <v>109</v>
      </c>
      <c r="H21" s="42" t="s">
        <v>141</v>
      </c>
      <c r="I21" s="42" t="s">
        <v>136</v>
      </c>
    </row>
    <row r="22" spans="1:9" ht="17.25" customHeight="1">
      <c r="A22" s="52">
        <v>1</v>
      </c>
      <c r="B22" s="120" t="s">
        <v>45</v>
      </c>
      <c r="C22" s="164"/>
      <c r="D22" s="165"/>
      <c r="E22" s="66">
        <v>75000</v>
      </c>
      <c r="F22" s="66">
        <v>100000</v>
      </c>
      <c r="G22" s="66">
        <v>100000</v>
      </c>
      <c r="H22" s="66">
        <v>100000</v>
      </c>
      <c r="I22" s="66">
        <f>SUM(F22:H22)</f>
        <v>300000</v>
      </c>
    </row>
    <row r="23" spans="1:9" ht="18" customHeight="1">
      <c r="A23" s="121" t="s">
        <v>41</v>
      </c>
      <c r="B23" s="122"/>
      <c r="C23" s="122"/>
      <c r="D23" s="123"/>
      <c r="E23" s="68">
        <f>+E22</f>
        <v>75000</v>
      </c>
      <c r="F23" s="68">
        <f>+F22</f>
        <v>100000</v>
      </c>
      <c r="G23" s="68">
        <f t="shared" ref="G23:H23" si="1">+G22</f>
        <v>100000</v>
      </c>
      <c r="H23" s="68">
        <f t="shared" si="1"/>
        <v>100000</v>
      </c>
      <c r="I23" s="68">
        <f t="shared" ref="I23" si="2">SUM(F23:H23)</f>
        <v>300000</v>
      </c>
    </row>
  </sheetData>
  <mergeCells count="27">
    <mergeCell ref="A23:D23"/>
    <mergeCell ref="A4:B4"/>
    <mergeCell ref="C4:I4"/>
    <mergeCell ref="B12:C15"/>
    <mergeCell ref="A12:A15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A1:I1"/>
    <mergeCell ref="A2:B2"/>
    <mergeCell ref="C2:I2"/>
    <mergeCell ref="A3:B3"/>
    <mergeCell ref="C3:I3"/>
    <mergeCell ref="B22:D22"/>
    <mergeCell ref="D16:F16"/>
    <mergeCell ref="B17:D17"/>
    <mergeCell ref="C18:D18"/>
    <mergeCell ref="B21:D21"/>
    <mergeCell ref="A19:D19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view="pageBreakPreview" zoomScale="60" zoomScaleNormal="118" workbookViewId="0">
      <selection activeCell="E2" sqref="E1:E1048576"/>
    </sheetView>
  </sheetViews>
  <sheetFormatPr defaultColWidth="11.42578125" defaultRowHeight="15"/>
  <cols>
    <col min="1" max="1" width="7.28515625" style="72" customWidth="1"/>
    <col min="2" max="2" width="16.42578125" style="72" customWidth="1"/>
    <col min="3" max="3" width="17.140625" style="72" customWidth="1"/>
    <col min="4" max="4" width="20.7109375" style="72" customWidth="1"/>
    <col min="5" max="5" width="11.42578125" style="72" hidden="1" customWidth="1"/>
    <col min="6" max="6" width="11.7109375" style="72" customWidth="1"/>
    <col min="7" max="7" width="12.42578125" style="72" customWidth="1"/>
    <col min="8" max="8" width="11.7109375" style="72" customWidth="1"/>
    <col min="9" max="9" width="13" style="72" customWidth="1"/>
    <col min="10" max="16384" width="11.42578125" style="72"/>
  </cols>
  <sheetData>
    <row r="1" spans="1:15" ht="27" customHeight="1" thickBot="1">
      <c r="A1" s="183" t="s">
        <v>93</v>
      </c>
      <c r="B1" s="184"/>
      <c r="C1" s="184"/>
      <c r="D1" s="184"/>
      <c r="E1" s="184"/>
      <c r="F1" s="184"/>
      <c r="G1" s="184"/>
      <c r="H1" s="184"/>
      <c r="I1" s="185"/>
    </row>
    <row r="2" spans="1:15" ht="60">
      <c r="A2" s="73"/>
      <c r="B2" s="186" t="s">
        <v>110</v>
      </c>
      <c r="C2" s="186"/>
      <c r="D2" s="186"/>
      <c r="E2" s="74" t="s">
        <v>137</v>
      </c>
      <c r="F2" s="74" t="s">
        <v>161</v>
      </c>
      <c r="G2" s="75" t="s">
        <v>138</v>
      </c>
      <c r="H2" s="75" t="s">
        <v>139</v>
      </c>
      <c r="I2" s="75" t="s">
        <v>136</v>
      </c>
    </row>
    <row r="3" spans="1:15" s="79" customFormat="1" ht="141.75" customHeight="1">
      <c r="A3" s="76">
        <v>1</v>
      </c>
      <c r="B3" s="77" t="s">
        <v>87</v>
      </c>
      <c r="C3" s="187" t="s">
        <v>111</v>
      </c>
      <c r="D3" s="188"/>
      <c r="E3" s="78">
        <v>47300</v>
      </c>
      <c r="F3" s="71">
        <v>48000</v>
      </c>
      <c r="G3" s="78">
        <v>60850</v>
      </c>
      <c r="H3" s="78">
        <v>60850</v>
      </c>
      <c r="I3" s="71">
        <f>SUM(F3:H3)</f>
        <v>169700</v>
      </c>
    </row>
    <row r="4" spans="1:15" s="79" customFormat="1" ht="159.75" customHeight="1">
      <c r="A4" s="76">
        <v>2</v>
      </c>
      <c r="B4" s="77" t="s">
        <v>87</v>
      </c>
      <c r="C4" s="187" t="s">
        <v>112</v>
      </c>
      <c r="D4" s="188"/>
      <c r="E4" s="78">
        <v>27700</v>
      </c>
      <c r="F4" s="71">
        <v>52000</v>
      </c>
      <c r="G4" s="78">
        <v>39150</v>
      </c>
      <c r="H4" s="78">
        <v>39150</v>
      </c>
      <c r="I4" s="71">
        <f>SUM(F4:H4)</f>
        <v>130300</v>
      </c>
      <c r="O4" s="91"/>
    </row>
    <row r="5" spans="1:15" ht="15.75">
      <c r="A5" s="189" t="s">
        <v>92</v>
      </c>
      <c r="B5" s="189"/>
      <c r="C5" s="189"/>
      <c r="D5" s="189"/>
      <c r="E5" s="80">
        <f>SUM(E1:E4)</f>
        <v>75000</v>
      </c>
      <c r="F5" s="81">
        <f t="shared" ref="F5:I5" si="0">SUM(F1:F4)</f>
        <v>100000</v>
      </c>
      <c r="G5" s="80">
        <f t="shared" si="0"/>
        <v>100000</v>
      </c>
      <c r="H5" s="80">
        <f t="shared" si="0"/>
        <v>100000</v>
      </c>
      <c r="I5" s="81">
        <f t="shared" si="0"/>
        <v>300000</v>
      </c>
    </row>
    <row r="9" spans="1:15">
      <c r="H9" s="82"/>
    </row>
  </sheetData>
  <mergeCells count="5">
    <mergeCell ref="A1:I1"/>
    <mergeCell ref="B2:D2"/>
    <mergeCell ref="C3:D3"/>
    <mergeCell ref="C4:D4"/>
    <mergeCell ref="A5:D5"/>
  </mergeCells>
  <printOptions horizontalCentered="1"/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="120" zoomScaleNormal="116" zoomScaleSheetLayoutView="120" workbookViewId="0">
      <selection activeCell="F22" sqref="F22"/>
    </sheetView>
  </sheetViews>
  <sheetFormatPr defaultColWidth="8.85546875" defaultRowHeight="11.25"/>
  <cols>
    <col min="1" max="1" width="6.7109375" style="7" customWidth="1"/>
    <col min="2" max="2" width="17" style="33" customWidth="1"/>
    <col min="3" max="3" width="28.28515625" style="33" customWidth="1"/>
    <col min="4" max="4" width="22.28515625" style="7" customWidth="1"/>
    <col min="5" max="5" width="9.42578125" style="7" hidden="1" customWidth="1"/>
    <col min="6" max="6" width="9.7109375" style="7" customWidth="1"/>
    <col min="7" max="7" width="9.42578125" style="7" customWidth="1"/>
    <col min="8" max="8" width="9.28515625" style="7" customWidth="1"/>
    <col min="9" max="9" width="21.7109375" style="7" customWidth="1"/>
    <col min="10" max="16384" width="8.85546875" style="7"/>
  </cols>
  <sheetData>
    <row r="1" spans="1:9" ht="12" thickBot="1">
      <c r="A1" s="140" t="s">
        <v>126</v>
      </c>
      <c r="B1" s="141"/>
      <c r="C1" s="141"/>
      <c r="D1" s="141"/>
      <c r="E1" s="141"/>
      <c r="F1" s="141"/>
      <c r="G1" s="141"/>
      <c r="H1" s="141"/>
      <c r="I1" s="142"/>
    </row>
    <row r="2" spans="1:9" s="8" customFormat="1">
      <c r="A2" s="143" t="s">
        <v>64</v>
      </c>
      <c r="B2" s="144"/>
      <c r="C2" s="195" t="s">
        <v>12</v>
      </c>
      <c r="D2" s="195"/>
      <c r="E2" s="195"/>
      <c r="F2" s="195"/>
      <c r="G2" s="195"/>
      <c r="H2" s="195"/>
      <c r="I2" s="196"/>
    </row>
    <row r="3" spans="1:9" s="8" customFormat="1">
      <c r="A3" s="130" t="s">
        <v>65</v>
      </c>
      <c r="B3" s="131"/>
      <c r="C3" s="197" t="s">
        <v>40</v>
      </c>
      <c r="D3" s="197"/>
      <c r="E3" s="197"/>
      <c r="F3" s="197"/>
      <c r="G3" s="197"/>
      <c r="H3" s="197"/>
      <c r="I3" s="198"/>
    </row>
    <row r="4" spans="1:9" s="8" customFormat="1">
      <c r="A4" s="154" t="s">
        <v>19</v>
      </c>
      <c r="B4" s="131"/>
      <c r="C4" s="132" t="s">
        <v>113</v>
      </c>
      <c r="D4" s="132"/>
      <c r="E4" s="132"/>
      <c r="F4" s="132"/>
      <c r="G4" s="132"/>
      <c r="H4" s="132"/>
      <c r="I4" s="133"/>
    </row>
    <row r="5" spans="1:9" s="8" customFormat="1">
      <c r="A5" s="130" t="s">
        <v>13</v>
      </c>
      <c r="B5" s="131"/>
      <c r="C5" s="199" t="s">
        <v>114</v>
      </c>
      <c r="D5" s="199"/>
      <c r="E5" s="199"/>
      <c r="F5" s="199"/>
      <c r="G5" s="199"/>
      <c r="H5" s="199"/>
      <c r="I5" s="200"/>
    </row>
    <row r="6" spans="1:9" s="8" customFormat="1" ht="36" customHeight="1">
      <c r="A6" s="130" t="s">
        <v>15</v>
      </c>
      <c r="B6" s="131"/>
      <c r="C6" s="132" t="s">
        <v>152</v>
      </c>
      <c r="D6" s="132"/>
      <c r="E6" s="132"/>
      <c r="F6" s="132"/>
      <c r="G6" s="132"/>
      <c r="H6" s="132"/>
      <c r="I6" s="133"/>
    </row>
    <row r="7" spans="1:9" s="8" customFormat="1" ht="25.5" customHeight="1">
      <c r="A7" s="130" t="s">
        <v>16</v>
      </c>
      <c r="B7" s="131"/>
      <c r="C7" s="132" t="s">
        <v>115</v>
      </c>
      <c r="D7" s="132"/>
      <c r="E7" s="132"/>
      <c r="F7" s="132"/>
      <c r="G7" s="132"/>
      <c r="H7" s="132"/>
      <c r="I7" s="133"/>
    </row>
    <row r="8" spans="1:9" s="8" customFormat="1" ht="38.25" customHeight="1" thickBot="1">
      <c r="A8" s="135" t="s">
        <v>70</v>
      </c>
      <c r="B8" s="136"/>
      <c r="C8" s="193" t="s">
        <v>116</v>
      </c>
      <c r="D8" s="193"/>
      <c r="E8" s="193"/>
      <c r="F8" s="193"/>
      <c r="G8" s="193"/>
      <c r="H8" s="193"/>
      <c r="I8" s="194"/>
    </row>
    <row r="9" spans="1:9">
      <c r="A9" s="9"/>
      <c r="B9" s="10"/>
      <c r="C9" s="11"/>
      <c r="D9" s="9"/>
      <c r="E9" s="9"/>
      <c r="F9" s="9"/>
    </row>
    <row r="10" spans="1:9">
      <c r="A10" s="139"/>
      <c r="B10" s="125" t="s">
        <v>20</v>
      </c>
      <c r="C10" s="125"/>
      <c r="D10" s="125" t="s">
        <v>71</v>
      </c>
      <c r="E10" s="125"/>
      <c r="F10" s="125"/>
      <c r="G10" s="125"/>
      <c r="H10" s="125"/>
      <c r="I10" s="125"/>
    </row>
    <row r="11" spans="1:9" ht="52.5">
      <c r="A11" s="139"/>
      <c r="B11" s="125"/>
      <c r="C11" s="125"/>
      <c r="D11" s="12"/>
      <c r="E11" s="12" t="s">
        <v>144</v>
      </c>
      <c r="F11" s="13" t="s">
        <v>24</v>
      </c>
      <c r="G11" s="13" t="s">
        <v>25</v>
      </c>
      <c r="H11" s="13" t="s">
        <v>142</v>
      </c>
      <c r="I11" s="12" t="s">
        <v>26</v>
      </c>
    </row>
    <row r="12" spans="1:9" ht="33.75">
      <c r="A12" s="155">
        <v>1</v>
      </c>
      <c r="B12" s="134" t="s">
        <v>117</v>
      </c>
      <c r="C12" s="134"/>
      <c r="D12" s="16" t="s">
        <v>118</v>
      </c>
      <c r="E12" s="70">
        <v>8</v>
      </c>
      <c r="F12" s="70">
        <v>15</v>
      </c>
      <c r="G12" s="70">
        <v>15</v>
      </c>
      <c r="H12" s="70">
        <v>15</v>
      </c>
      <c r="I12" s="16" t="s">
        <v>119</v>
      </c>
    </row>
    <row r="13" spans="1:9" ht="33.75">
      <c r="A13" s="155"/>
      <c r="B13" s="134"/>
      <c r="C13" s="134"/>
      <c r="D13" s="16" t="s">
        <v>120</v>
      </c>
      <c r="E13" s="21">
        <v>8500</v>
      </c>
      <c r="F13" s="70">
        <v>5000</v>
      </c>
      <c r="G13" s="70">
        <v>9000</v>
      </c>
      <c r="H13" s="70">
        <v>9000</v>
      </c>
      <c r="I13" s="16" t="s">
        <v>121</v>
      </c>
    </row>
    <row r="14" spans="1:9">
      <c r="A14" s="19"/>
      <c r="B14" s="19"/>
      <c r="C14" s="19"/>
      <c r="D14" s="124"/>
      <c r="E14" s="124"/>
      <c r="F14" s="124"/>
      <c r="G14" s="24"/>
    </row>
    <row r="15" spans="1:9" ht="31.5">
      <c r="A15" s="25"/>
      <c r="B15" s="125" t="s">
        <v>47</v>
      </c>
      <c r="C15" s="125"/>
      <c r="D15" s="125"/>
      <c r="E15" s="13" t="s">
        <v>130</v>
      </c>
      <c r="F15" s="89" t="s">
        <v>156</v>
      </c>
      <c r="G15" s="13" t="s">
        <v>36</v>
      </c>
      <c r="H15" s="13" t="s">
        <v>131</v>
      </c>
      <c r="I15" s="13" t="s">
        <v>136</v>
      </c>
    </row>
    <row r="16" spans="1:9" s="30" customFormat="1">
      <c r="A16" s="27">
        <v>1</v>
      </c>
      <c r="B16" s="28">
        <v>412700</v>
      </c>
      <c r="C16" s="129" t="s">
        <v>57</v>
      </c>
      <c r="D16" s="129"/>
      <c r="E16" s="29">
        <v>15000</v>
      </c>
      <c r="F16" s="29">
        <v>25000</v>
      </c>
      <c r="G16" s="29">
        <v>25000</v>
      </c>
      <c r="H16" s="29">
        <v>25000</v>
      </c>
      <c r="I16" s="29">
        <f>SUM(F16:H16)</f>
        <v>75000</v>
      </c>
    </row>
    <row r="17" spans="1:9" s="30" customFormat="1">
      <c r="A17" s="27">
        <v>2</v>
      </c>
      <c r="B17" s="28">
        <v>412900</v>
      </c>
      <c r="C17" s="129" t="s">
        <v>58</v>
      </c>
      <c r="D17" s="129"/>
      <c r="E17" s="29">
        <v>55000</v>
      </c>
      <c r="F17" s="29">
        <v>45000</v>
      </c>
      <c r="G17" s="29">
        <v>55000</v>
      </c>
      <c r="H17" s="29">
        <v>55000</v>
      </c>
      <c r="I17" s="29">
        <f t="shared" ref="I17:I18" si="0">SUM(F17:H17)</f>
        <v>155000</v>
      </c>
    </row>
    <row r="18" spans="1:9">
      <c r="A18" s="121" t="s">
        <v>41</v>
      </c>
      <c r="B18" s="122"/>
      <c r="C18" s="122"/>
      <c r="D18" s="123"/>
      <c r="E18" s="68">
        <f>+E16+E17</f>
        <v>70000</v>
      </c>
      <c r="F18" s="68">
        <f>+F16+F17</f>
        <v>70000</v>
      </c>
      <c r="G18" s="68">
        <f>+G16+G17</f>
        <v>80000</v>
      </c>
      <c r="H18" s="68">
        <f>+H16+H17</f>
        <v>80000</v>
      </c>
      <c r="I18" s="68">
        <f t="shared" si="0"/>
        <v>230000</v>
      </c>
    </row>
    <row r="19" spans="1:9">
      <c r="E19" s="34"/>
      <c r="F19" s="34"/>
      <c r="G19" s="24"/>
    </row>
    <row r="20" spans="1:9" ht="31.5">
      <c r="A20" s="25"/>
      <c r="B20" s="125" t="s">
        <v>42</v>
      </c>
      <c r="C20" s="125"/>
      <c r="D20" s="125"/>
      <c r="E20" s="13" t="s">
        <v>134</v>
      </c>
      <c r="F20" s="89" t="s">
        <v>162</v>
      </c>
      <c r="G20" s="13" t="s">
        <v>44</v>
      </c>
      <c r="H20" s="13" t="s">
        <v>135</v>
      </c>
      <c r="I20" s="13" t="s">
        <v>136</v>
      </c>
    </row>
    <row r="21" spans="1:9">
      <c r="A21" s="27">
        <v>1</v>
      </c>
      <c r="B21" s="190" t="s">
        <v>45</v>
      </c>
      <c r="C21" s="191"/>
      <c r="D21" s="192"/>
      <c r="E21" s="29">
        <f>+E18</f>
        <v>70000</v>
      </c>
      <c r="F21" s="29">
        <f>+F18</f>
        <v>70000</v>
      </c>
      <c r="G21" s="29">
        <v>80000</v>
      </c>
      <c r="H21" s="29">
        <v>80000</v>
      </c>
      <c r="I21" s="29">
        <f>SUM(F21:H21)</f>
        <v>230000</v>
      </c>
    </row>
    <row r="22" spans="1:9">
      <c r="A22" s="121" t="s">
        <v>41</v>
      </c>
      <c r="B22" s="122"/>
      <c r="C22" s="122"/>
      <c r="D22" s="123"/>
      <c r="E22" s="68">
        <f>+E21</f>
        <v>70000</v>
      </c>
      <c r="F22" s="68">
        <f>+F21</f>
        <v>70000</v>
      </c>
      <c r="G22" s="68">
        <f t="shared" ref="G22:H22" si="1">+G21</f>
        <v>80000</v>
      </c>
      <c r="H22" s="68">
        <f t="shared" si="1"/>
        <v>80000</v>
      </c>
      <c r="I22" s="68">
        <f t="shared" ref="I22" si="2">SUM(F22:H22)</f>
        <v>230000</v>
      </c>
    </row>
  </sheetData>
  <mergeCells count="28">
    <mergeCell ref="A22:D22"/>
    <mergeCell ref="A4:B4"/>
    <mergeCell ref="C4:I4"/>
    <mergeCell ref="A1:I1"/>
    <mergeCell ref="A2:B2"/>
    <mergeCell ref="C2:I2"/>
    <mergeCell ref="A3:B3"/>
    <mergeCell ref="C3:I3"/>
    <mergeCell ref="A12:A13"/>
    <mergeCell ref="B12:C13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B21:D21"/>
    <mergeCell ref="D14:F14"/>
    <mergeCell ref="B15:D15"/>
    <mergeCell ref="C16:D16"/>
    <mergeCell ref="C17:D17"/>
    <mergeCell ref="B20:D20"/>
    <mergeCell ref="A18:D18"/>
  </mergeCells>
  <printOptions horizontalCentered="1"/>
  <pageMargins left="0" right="0" top="0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"/>
  <sheetViews>
    <sheetView view="pageBreakPreview" zoomScale="60" zoomScaleNormal="116" workbookViewId="0">
      <selection activeCell="F5" sqref="F5"/>
    </sheetView>
  </sheetViews>
  <sheetFormatPr defaultColWidth="11.42578125" defaultRowHeight="15"/>
  <cols>
    <col min="1" max="1" width="11.42578125" style="72"/>
    <col min="2" max="2" width="11.7109375" style="72" customWidth="1"/>
    <col min="3" max="3" width="17.140625" style="72" customWidth="1"/>
    <col min="4" max="4" width="24" style="72" customWidth="1"/>
    <col min="5" max="5" width="0" style="72" hidden="1" customWidth="1"/>
    <col min="6" max="16384" width="11.42578125" style="72"/>
  </cols>
  <sheetData>
    <row r="1" spans="1:9" ht="38.1" customHeight="1" thickBot="1">
      <c r="A1" s="183" t="s">
        <v>93</v>
      </c>
      <c r="B1" s="184"/>
      <c r="C1" s="184"/>
      <c r="D1" s="184"/>
      <c r="E1" s="184"/>
      <c r="F1" s="184"/>
      <c r="G1" s="184"/>
      <c r="H1" s="184"/>
      <c r="I1" s="185"/>
    </row>
    <row r="2" spans="1:9" ht="60">
      <c r="A2" s="73"/>
      <c r="B2" s="186" t="s">
        <v>122</v>
      </c>
      <c r="C2" s="186"/>
      <c r="D2" s="186"/>
      <c r="E2" s="75" t="s">
        <v>130</v>
      </c>
      <c r="F2" s="75" t="s">
        <v>35</v>
      </c>
      <c r="G2" s="75" t="s">
        <v>36</v>
      </c>
      <c r="H2" s="75" t="s">
        <v>131</v>
      </c>
      <c r="I2" s="75" t="s">
        <v>136</v>
      </c>
    </row>
    <row r="3" spans="1:9">
      <c r="A3" s="84">
        <v>1</v>
      </c>
      <c r="B3" s="85" t="s">
        <v>87</v>
      </c>
      <c r="C3" s="201" t="s">
        <v>123</v>
      </c>
      <c r="D3" s="201"/>
      <c r="E3" s="71">
        <v>30000</v>
      </c>
      <c r="F3" s="71">
        <v>15000</v>
      </c>
      <c r="G3" s="71">
        <v>20000</v>
      </c>
      <c r="H3" s="71">
        <v>20000</v>
      </c>
      <c r="I3" s="71">
        <f>SUM(F3:H3)</f>
        <v>55000</v>
      </c>
    </row>
    <row r="4" spans="1:9">
      <c r="A4" s="84">
        <v>2</v>
      </c>
      <c r="B4" s="85" t="s">
        <v>87</v>
      </c>
      <c r="C4" s="187" t="s">
        <v>143</v>
      </c>
      <c r="D4" s="188"/>
      <c r="E4" s="71">
        <v>15000</v>
      </c>
      <c r="F4" s="71">
        <v>25000</v>
      </c>
      <c r="G4" s="71">
        <v>30000</v>
      </c>
      <c r="H4" s="71">
        <v>30000</v>
      </c>
      <c r="I4" s="71">
        <f t="shared" ref="I4:I6" si="0">SUM(F4:H4)</f>
        <v>85000</v>
      </c>
    </row>
    <row r="5" spans="1:9">
      <c r="A5" s="84">
        <v>3</v>
      </c>
      <c r="B5" s="85" t="s">
        <v>87</v>
      </c>
      <c r="C5" s="201" t="s">
        <v>124</v>
      </c>
      <c r="D5" s="201"/>
      <c r="E5" s="71">
        <v>10000</v>
      </c>
      <c r="F5" s="71">
        <v>10000</v>
      </c>
      <c r="G5" s="71">
        <v>10000</v>
      </c>
      <c r="H5" s="71">
        <v>10000</v>
      </c>
      <c r="I5" s="71">
        <f>SUM(F5:H5)</f>
        <v>30000</v>
      </c>
    </row>
    <row r="6" spans="1:9">
      <c r="A6" s="84">
        <v>4</v>
      </c>
      <c r="B6" s="85" t="s">
        <v>87</v>
      </c>
      <c r="C6" s="201" t="s">
        <v>125</v>
      </c>
      <c r="D6" s="201"/>
      <c r="E6" s="71">
        <v>15000</v>
      </c>
      <c r="F6" s="71">
        <v>20000</v>
      </c>
      <c r="G6" s="71">
        <v>20000</v>
      </c>
      <c r="H6" s="71">
        <v>20000</v>
      </c>
      <c r="I6" s="71">
        <f t="shared" si="0"/>
        <v>60000</v>
      </c>
    </row>
    <row r="7" spans="1:9" ht="15.75">
      <c r="A7" s="189" t="s">
        <v>92</v>
      </c>
      <c r="B7" s="189"/>
      <c r="C7" s="189"/>
      <c r="D7" s="189"/>
      <c r="E7" s="81">
        <f>SUM(E3:E6)</f>
        <v>70000</v>
      </c>
      <c r="F7" s="81">
        <f t="shared" ref="F7:I7" si="1">SUM(F3:F6)</f>
        <v>70000</v>
      </c>
      <c r="G7" s="81">
        <f t="shared" si="1"/>
        <v>80000</v>
      </c>
      <c r="H7" s="81">
        <f t="shared" si="1"/>
        <v>80000</v>
      </c>
      <c r="I7" s="81">
        <f t="shared" si="1"/>
        <v>230000</v>
      </c>
    </row>
    <row r="8" spans="1:9" ht="15.75">
      <c r="A8" s="86"/>
      <c r="B8" s="86"/>
      <c r="C8" s="86"/>
      <c r="D8" s="86"/>
      <c r="E8" s="86"/>
      <c r="F8" s="86"/>
      <c r="G8" s="86"/>
      <c r="H8" s="86"/>
      <c r="I8" s="86"/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Program KULTURA</vt:lpstr>
      <vt:lpstr>PA 1</vt:lpstr>
      <vt:lpstr>PA 1 - Projekti</vt:lpstr>
      <vt:lpstr>PA 2</vt:lpstr>
      <vt:lpstr>PA 2 - Projekti</vt:lpstr>
      <vt:lpstr>PA 3</vt:lpstr>
      <vt:lpstr>PA 3 - Projekti</vt:lpstr>
      <vt:lpstr>'PA 1'!Print_Area</vt:lpstr>
      <vt:lpstr>'PA 2'!Print_Area</vt:lpstr>
      <vt:lpstr>'PA 2 - Projekti'!Print_Area</vt:lpstr>
      <vt:lpstr>'PA 3'!Print_Area</vt:lpstr>
      <vt:lpstr>'Program KULTURA'!Print_Area</vt:lpstr>
    </vt:vector>
  </TitlesOfParts>
  <Company>PRESSNOW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Rokvić</dc:creator>
  <cp:lastModifiedBy>kanc84tanjab</cp:lastModifiedBy>
  <cp:lastPrinted>2022-03-24T10:05:07Z</cp:lastPrinted>
  <dcterms:created xsi:type="dcterms:W3CDTF">2006-04-28T10:39:09Z</dcterms:created>
  <dcterms:modified xsi:type="dcterms:W3CDTF">2022-03-25T08:31:13Z</dcterms:modified>
</cp:coreProperties>
</file>