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kic\TANJA\0003\"/>
    </mc:Choice>
  </mc:AlternateContent>
  <bookViews>
    <workbookView xWindow="0" yWindow="0" windowWidth="25200" windowHeight="11985" tabRatio="827"/>
  </bookViews>
  <sheets>
    <sheet name="Program KULTURA" sheetId="29" r:id="rId1"/>
    <sheet name="PA 1" sheetId="30" r:id="rId2"/>
    <sheet name="PA 1 - Projekti" sheetId="32" r:id="rId3"/>
    <sheet name="PA 2" sheetId="33" r:id="rId4"/>
    <sheet name="PA 2 - Projekti" sheetId="34" r:id="rId5"/>
    <sheet name="PA 3" sheetId="35" r:id="rId6"/>
    <sheet name="PA 3 - Projekti" sheetId="38" r:id="rId7"/>
  </sheets>
  <definedNames>
    <definedName name="_xlnm.Print_Area" localSheetId="1">'PA 1'!$A$1:$I$48</definedName>
    <definedName name="_xlnm.Print_Area" localSheetId="3">'PA 2'!$A$1:$I$24</definedName>
    <definedName name="_xlnm.Print_Area" localSheetId="5">'PA 3'!$A$1:$I$23</definedName>
    <definedName name="_xlnm.Print_Area" localSheetId="0">'Program KULTURA'!$A$1:$I$21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30" l="1"/>
  <c r="H34" i="30"/>
  <c r="F34" i="30"/>
  <c r="E28" i="30"/>
  <c r="G27" i="30"/>
  <c r="H27" i="30"/>
  <c r="F27" i="30"/>
  <c r="E26" i="30"/>
  <c r="G20" i="30"/>
  <c r="H20" i="30"/>
  <c r="F20" i="30"/>
  <c r="E20" i="30"/>
  <c r="G46" i="30" l="1"/>
  <c r="H46" i="30"/>
  <c r="F46" i="30"/>
  <c r="G47" i="30"/>
  <c r="H47" i="30"/>
  <c r="F47" i="30"/>
  <c r="E47" i="30"/>
  <c r="G42" i="30"/>
  <c r="H42" i="30"/>
  <c r="F42" i="30"/>
  <c r="E42" i="30"/>
  <c r="E41" i="30"/>
  <c r="G40" i="30"/>
  <c r="H40" i="30"/>
  <c r="F40" i="30"/>
  <c r="E40" i="30"/>
  <c r="G39" i="30"/>
  <c r="H39" i="30"/>
  <c r="F39" i="30"/>
  <c r="E39" i="30"/>
  <c r="G38" i="30"/>
  <c r="H38" i="30"/>
  <c r="F38" i="30"/>
  <c r="E38" i="30"/>
  <c r="G37" i="30"/>
  <c r="H37" i="30"/>
  <c r="F37" i="30"/>
  <c r="E37" i="30"/>
  <c r="F36" i="30"/>
  <c r="G36" i="30"/>
  <c r="H36" i="30"/>
  <c r="E36" i="30"/>
  <c r="G35" i="30"/>
  <c r="H35" i="30"/>
  <c r="F35" i="30"/>
  <c r="E35" i="30"/>
  <c r="E34" i="30"/>
  <c r="G33" i="30"/>
  <c r="H33" i="30"/>
  <c r="F33" i="30"/>
  <c r="E33" i="30"/>
  <c r="G31" i="30"/>
  <c r="H31" i="30"/>
  <c r="F31" i="30"/>
  <c r="E31" i="30"/>
  <c r="G30" i="30"/>
  <c r="H30" i="30"/>
  <c r="F30" i="30"/>
  <c r="E30" i="30"/>
  <c r="G29" i="30"/>
  <c r="H29" i="30"/>
  <c r="F29" i="30"/>
  <c r="E29" i="30"/>
  <c r="G28" i="30"/>
  <c r="H28" i="30"/>
  <c r="F28" i="30"/>
  <c r="E27" i="30"/>
  <c r="G26" i="30"/>
  <c r="H26" i="30"/>
  <c r="F26" i="30"/>
  <c r="G17" i="29"/>
  <c r="H17" i="29"/>
  <c r="F17" i="29"/>
  <c r="E17" i="29"/>
  <c r="H7" i="38"/>
  <c r="G7" i="38"/>
  <c r="F7" i="38"/>
  <c r="E7" i="38"/>
  <c r="H5" i="34"/>
  <c r="G5" i="34"/>
  <c r="F5" i="34"/>
  <c r="E5" i="34"/>
  <c r="F7" i="32"/>
  <c r="G7" i="32"/>
  <c r="H7" i="32"/>
  <c r="E7" i="32"/>
  <c r="F48" i="30" l="1"/>
  <c r="G48" i="30"/>
  <c r="H48" i="30"/>
  <c r="E46" i="30"/>
  <c r="I5" i="32"/>
  <c r="I5" i="38" l="1"/>
  <c r="I4" i="38"/>
  <c r="I6" i="38"/>
  <c r="I3" i="38"/>
  <c r="I21" i="35"/>
  <c r="G22" i="35"/>
  <c r="H22" i="35"/>
  <c r="I17" i="35"/>
  <c r="I16" i="35"/>
  <c r="G18" i="35"/>
  <c r="H18" i="35"/>
  <c r="I4" i="34"/>
  <c r="I3" i="34"/>
  <c r="I22" i="33"/>
  <c r="G23" i="33"/>
  <c r="H23" i="33"/>
  <c r="I18" i="33"/>
  <c r="G19" i="33"/>
  <c r="H19" i="33"/>
  <c r="I4" i="32"/>
  <c r="I6" i="32"/>
  <c r="I3" i="32"/>
  <c r="I47" i="30"/>
  <c r="I32" i="30"/>
  <c r="I38" i="30"/>
  <c r="I41" i="30"/>
  <c r="I18" i="29"/>
  <c r="I19" i="29"/>
  <c r="G20" i="29"/>
  <c r="H20" i="29"/>
  <c r="I7" i="38" l="1"/>
  <c r="I7" i="32"/>
  <c r="I5" i="34"/>
  <c r="G43" i="30"/>
  <c r="H43" i="30"/>
  <c r="E18" i="35"/>
  <c r="E21" i="35" s="1"/>
  <c r="E22" i="35" s="1"/>
  <c r="F22" i="35"/>
  <c r="I22" i="35" s="1"/>
  <c r="F18" i="35"/>
  <c r="I18" i="35" s="1"/>
  <c r="F23" i="33"/>
  <c r="I23" i="33" s="1"/>
  <c r="E23" i="33"/>
  <c r="F19" i="33"/>
  <c r="I19" i="33" s="1"/>
  <c r="E19" i="33"/>
  <c r="I37" i="30"/>
  <c r="I34" i="30"/>
  <c r="I42" i="30"/>
  <c r="I40" i="30"/>
  <c r="I39" i="30"/>
  <c r="I36" i="30"/>
  <c r="I35" i="30"/>
  <c r="I33" i="30"/>
  <c r="I31" i="30"/>
  <c r="I30" i="30"/>
  <c r="I29" i="30"/>
  <c r="I28" i="30"/>
  <c r="I27" i="30"/>
  <c r="I26" i="30"/>
  <c r="J20" i="30"/>
  <c r="M11" i="30"/>
  <c r="M12" i="30"/>
  <c r="L12" i="30"/>
  <c r="M13" i="30"/>
  <c r="L13" i="30"/>
  <c r="J11" i="30"/>
  <c r="J18" i="30" s="1"/>
  <c r="K12" i="30"/>
  <c r="K14" i="30" s="1"/>
  <c r="J12" i="30"/>
  <c r="J14" i="30" s="1"/>
  <c r="E20" i="29"/>
  <c r="I43" i="30" l="1"/>
  <c r="F20" i="29"/>
  <c r="I20" i="29" s="1"/>
  <c r="I17" i="29"/>
  <c r="E48" i="30"/>
  <c r="E43" i="30"/>
  <c r="M18" i="30"/>
  <c r="J15" i="30"/>
  <c r="M15" i="30"/>
  <c r="M17" i="30"/>
  <c r="F43" i="30"/>
  <c r="M14" i="30"/>
  <c r="J17" i="30"/>
  <c r="M20" i="30"/>
  <c r="L14" i="30"/>
  <c r="I48" i="30"/>
  <c r="I46" i="30"/>
  <c r="K43" i="30" l="1"/>
</calcChain>
</file>

<file path=xl/sharedStrings.xml><?xml version="1.0" encoding="utf-8"?>
<sst xmlns="http://schemas.openxmlformats.org/spreadsheetml/2006/main" count="303" uniqueCount="161">
  <si>
    <t>175</t>
  </si>
  <si>
    <t>180</t>
  </si>
  <si>
    <t>17,5</t>
  </si>
  <si>
    <t>1,38</t>
  </si>
  <si>
    <t>/</t>
  </si>
  <si>
    <t>17,6</t>
  </si>
  <si>
    <t>17,7</t>
  </si>
  <si>
    <t>181</t>
  </si>
  <si>
    <t>182</t>
  </si>
  <si>
    <t>&gt;=1</t>
  </si>
  <si>
    <t>Број манифестација које имају за циљ промовисање женских људских права</t>
  </si>
  <si>
    <t>Програмски Буџет - ПРОГРАМ</t>
  </si>
  <si>
    <t>Назив програма:</t>
  </si>
  <si>
    <t>КУЛТУРА</t>
  </si>
  <si>
    <t>Сврха:</t>
  </si>
  <si>
    <t>Развој културе на подручју Града</t>
  </si>
  <si>
    <t>Основ:</t>
  </si>
  <si>
    <t>Закон о култури, Закон о локалној самоуправи, Статут града Градишка, Стратегија развоја града Градишка за период 2019-2027. година, Правилник о критеријумима, начину и поступку расподјеле средстава организацијама и дјелатностима у области културе, Одлука о извршењу Буџета града Градишка</t>
  </si>
  <si>
    <t>Опис:</t>
  </si>
  <si>
    <t>Програм обухвата подршку културним установама, организацијама и дјелатностема, те културним манифестацијама на подручју Града</t>
  </si>
  <si>
    <t>Одговорно лице за 
спровођење програма:</t>
  </si>
  <si>
    <t>Славко Мекињић, самостални стручни сарадник за културу и религију</t>
  </si>
  <si>
    <t>Назив организационе јединице</t>
  </si>
  <si>
    <t>Одјељење за друштвене дјелатности</t>
  </si>
  <si>
    <t>Циљ</t>
  </si>
  <si>
    <t xml:space="preserve">Индикатори </t>
  </si>
  <si>
    <t>Назив индикатора</t>
  </si>
  <si>
    <t>Вриједност у базној години (2019)</t>
  </si>
  <si>
    <t>Циљана вриједност 2020</t>
  </si>
  <si>
    <t>Циљана вриједност 2021</t>
  </si>
  <si>
    <t>Циљана вриједност 2022</t>
  </si>
  <si>
    <t xml:space="preserve">Извор верификације за сваки индикатор </t>
  </si>
  <si>
    <t>Планско  подстицање развоја културе кроз јачање капацитета културне инфраструктуре и унапређење чувања културно-историјског насљеђа</t>
  </si>
  <si>
    <t>Укупан број манифестација на 1000 становника</t>
  </si>
  <si>
    <t>Информација о стању у области културе на подручју града Градиша</t>
  </si>
  <si>
    <t>Задовољство грађана културним садржајима у граду (по сполној структури)</t>
  </si>
  <si>
    <t>Анкете</t>
  </si>
  <si>
    <t>Укупна средства у култури у оквиру локалног буџета</t>
  </si>
  <si>
    <t>Извјештај о извршењу буџета</t>
  </si>
  <si>
    <t xml:space="preserve">Списак програмских мјера </t>
  </si>
  <si>
    <t>Расходи
 у 2021</t>
  </si>
  <si>
    <t>Расходи
 у 2022</t>
  </si>
  <si>
    <t>Мјера:</t>
  </si>
  <si>
    <t>Функционисање локалних установа културе</t>
  </si>
  <si>
    <t>Подстицаји културном и умјетничком стваралаштву</t>
  </si>
  <si>
    <t>Подршка одржавању културних манифестација</t>
  </si>
  <si>
    <t>УКУПНО:</t>
  </si>
  <si>
    <t>Извори финансирања</t>
  </si>
  <si>
    <t>Извори
 у 2021</t>
  </si>
  <si>
    <t>Извори
 у 2022</t>
  </si>
  <si>
    <t>Буџет града Градишка</t>
  </si>
  <si>
    <t xml:space="preserve">Властити приходи буџетских корисника </t>
  </si>
  <si>
    <t xml:space="preserve">Расходи и издаци директно везани за програмску мјеру </t>
  </si>
  <si>
    <t>Расходи за бруто плате</t>
  </si>
  <si>
    <t>Расходи за бруто накнаде</t>
  </si>
  <si>
    <t>Расходи за нак плата за вријеме боловања</t>
  </si>
  <si>
    <t>Расходи за отпремнине и једнократне помоћи</t>
  </si>
  <si>
    <t>Расходи по основу утрошка енергије, комуналних и комуникационих услуга</t>
  </si>
  <si>
    <t>Расходи за режијски материјал</t>
  </si>
  <si>
    <t>Расходи за посебне намјене</t>
  </si>
  <si>
    <t>Расходи за текуће одржавање</t>
  </si>
  <si>
    <t>Расходи по основу путовања и смјештаја</t>
  </si>
  <si>
    <t>Расходи за стручне услуге</t>
  </si>
  <si>
    <t>Остали некласификовани расходи (програмске активности)</t>
  </si>
  <si>
    <t>Расходи из трансакција размјене унутар исте јединице власти</t>
  </si>
  <si>
    <t>Издаци за инвестиционо одржавање</t>
  </si>
  <si>
    <t>Издаци за набавку опреме</t>
  </si>
  <si>
    <t>Издаци по основу пореза на додату вриједност</t>
  </si>
  <si>
    <t>Накнаде плата за вријеме болести</t>
  </si>
  <si>
    <t xml:space="preserve">Програм: </t>
  </si>
  <si>
    <t>Назив:</t>
  </si>
  <si>
    <t xml:space="preserve"> Функционисање локалних установа културе </t>
  </si>
  <si>
    <t>Назив организационе јединице:</t>
  </si>
  <si>
    <t xml:space="preserve">Одјељење за друштвене дјелатности </t>
  </si>
  <si>
    <t>Осигуравање финансијске подршке локалним установама културе</t>
  </si>
  <si>
    <t>Закон о културу, Закон о локалној самоуправи, Статут града Градишка, Стратегија развоја града Градишка за период 2019-2027. година, Правилник о критеријумима, начину и поступку расподјеле средстава организацијама и дјелатностима у области културе, Одлука о извршењу Буџета града Градишка</t>
  </si>
  <si>
    <t>Овом програмском активношћу пружа се подршка локалних установа културе кроз осигуравање финансијских средстава за њихово функционисање као и реализацију пројектних активности. Реализација ових активности осигурава развој културе на подручју града те промоцији културе кроз њихов рад.</t>
  </si>
  <si>
    <t>Одговорно лице за 
спровођење прог активности:</t>
  </si>
  <si>
    <t>Индикатори исхода/излазног резултата</t>
  </si>
  <si>
    <t>Подстицање културног развоја кроз изградњу капацитета културних установа</t>
  </si>
  <si>
    <t>Проценат удјела средстава за културне програме у буџету установа културе; процент удјела плата упосленика у буџету установа културе (подаци представљени према полу)</t>
  </si>
  <si>
    <t>Проценат удјела капиталних  улагања у буџету културних институција</t>
  </si>
  <si>
    <t>Број школа у односу на укупни број које су у имале организиране посјете установама културе</t>
  </si>
  <si>
    <t>Годишњи извјештају установа културе</t>
  </si>
  <si>
    <t>Проценат буџета намењен финансирању установа културе</t>
  </si>
  <si>
    <t>Побољшање ефикасности установа културе</t>
  </si>
  <si>
    <t>Број запослених у културним институцијама у односу на укупно становништво града укључујући и полну структуру</t>
  </si>
  <si>
    <t>у - 0,01%                ж - 0,08%                 м - 0,11%</t>
  </si>
  <si>
    <t>Број посјетилаца/чланова установа културе (подаци представљени према полу)</t>
  </si>
  <si>
    <t>Процентуално учешће властитих прихода у буџету установа културе</t>
  </si>
  <si>
    <t>Годишња потрошња електричне енергије у КМ по м2 површине</t>
  </si>
  <si>
    <t>Годишња потрошња воде у КМ по запосленом</t>
  </si>
  <si>
    <t>Годишња потрошња топлинске енергије намијењена за гријање просторија у КМ на 1000м2</t>
  </si>
  <si>
    <t xml:space="preserve">Списак пројеката у оквиру програмске мјере </t>
  </si>
  <si>
    <t>Пројекат:</t>
  </si>
  <si>
    <t>ЈУ Завичајни музеј Градишка</t>
  </si>
  <si>
    <t>ЈУ Културни центар Градишка</t>
  </si>
  <si>
    <t>ЈУ Народна библиотека Градишка</t>
  </si>
  <si>
    <t>ЈУ Градско позориште Градишка</t>
  </si>
  <si>
    <t>УКУПНО</t>
  </si>
  <si>
    <t>Програмски Буџет - ПРОЈЕКТИ</t>
  </si>
  <si>
    <t>Расходи у 2022</t>
  </si>
  <si>
    <t>Програм:</t>
  </si>
  <si>
    <t>Повећање интересовања грађана развоју културе</t>
  </si>
  <si>
    <t>Овом програмском активношћу пружа се подршка организацијама и удружењима из области културе кроз осигуравање дијела финансијских средстава за реализацију њихових пројектних активности. Реализација ових активности осигурава развој културе на подручју града те промоцији културе кроз њихов рад.</t>
  </si>
  <si>
    <t>Одговорно лице за спровођење програма активности:</t>
  </si>
  <si>
    <t>Славко Мекињић, самостални стручни сарадник за културу и религију,</t>
  </si>
  <si>
    <t>Подршка раду и промоцији рада културних организација и удружења на подручју Града</t>
  </si>
  <si>
    <t>Број организација и удружења у области културе на подручју Града у односу на број становника (укупно и полна структура)</t>
  </si>
  <si>
    <t>о и у -17               у- 2,7 %          м- 1,2%           ж-4,2 %</t>
  </si>
  <si>
    <t>о и у -17               у- 2,7 %           м- 1,2%             ж-4,2 %</t>
  </si>
  <si>
    <t>Информација о стању у области културе на подручју града Градишка</t>
  </si>
  <si>
    <t>Број организованих културних догађаја од стране организација и удружења у области културе</t>
  </si>
  <si>
    <t>Број посјета школа установама културе</t>
  </si>
  <si>
    <t>Расходи и издаци директно везани за програмску мјеру</t>
  </si>
  <si>
    <t>Расходи у 2021</t>
  </si>
  <si>
    <t>Текући грантови културним организацијама и дјелатностима</t>
  </si>
  <si>
    <t>Извори у 2021</t>
  </si>
  <si>
    <t>Извори у 2022</t>
  </si>
  <si>
    <t>Списак пројеката у оквиру програмске мјере</t>
  </si>
  <si>
    <t>Расподјела средства организацијама и удружењима у области културе на основу програми/пројекти који се спроводе у интересу и на подручју града Градишка на основу Јавног позива</t>
  </si>
  <si>
    <t xml:space="preserve">Додјела средства организацијама и удружењима у области културе на основу програми/пројекти који се спроводе у интересу и на подручју града Градишка на основу захтјева из резерве </t>
  </si>
  <si>
    <t>Служба Градоначелника</t>
  </si>
  <si>
    <t>Повећање задовољства грађањем културним садржајем на подручју Града</t>
  </si>
  <si>
    <t>Овом програмском активношћу пружа се подршка развоју културних садржаја  кроз осигуравање финансијских средстава за реализацију културних програмских манифестација</t>
  </si>
  <si>
    <t>Горан Суботић, Начелник службе Градоначелника</t>
  </si>
  <si>
    <t>Повећање заинтересираности грађана за културна догађања</t>
  </si>
  <si>
    <t>Број планираних манифестација културе које организира градска управа</t>
  </si>
  <si>
    <t>Годишњи план рада ЈЛС</t>
  </si>
  <si>
    <t>Број грађана који је присуствовао одржаним манифестацијама културе</t>
  </si>
  <si>
    <t>Извјештаји о реализацији плана рада ЈЛС</t>
  </si>
  <si>
    <t>Списак пројеката у оквиу програмске мјере</t>
  </si>
  <si>
    <t>Градишка зима</t>
  </si>
  <si>
    <t>Градишко љето</t>
  </si>
  <si>
    <t>Градишка јесен</t>
  </si>
  <si>
    <t>Програмски Буџет - Мјера</t>
  </si>
  <si>
    <t>Програмски Буџет - МЈЕРА</t>
  </si>
  <si>
    <t>Годишњи извјештаји установа културе</t>
  </si>
  <si>
    <t>Год.извјеш. установа културе</t>
  </si>
  <si>
    <t>Расходи у базној год (2020)</t>
  </si>
  <si>
    <t>Расходи
 у 2023</t>
  </si>
  <si>
    <t>2,54%</t>
  </si>
  <si>
    <t>Издаци за залихе материјала</t>
  </si>
  <si>
    <t>Извори у базној год (2020)</t>
  </si>
  <si>
    <t>Извори
 у 2023</t>
  </si>
  <si>
    <t>УКУПНО (2021-2023):</t>
  </si>
  <si>
    <t>Расходи у базној години (2020)</t>
  </si>
  <si>
    <t>Расходи у  2022</t>
  </si>
  <si>
    <t>Расходи у 2023</t>
  </si>
  <si>
    <t>Извори у базној години (2020)</t>
  </si>
  <si>
    <t>Извори у 2023</t>
  </si>
  <si>
    <t>Циљана вриједност 2023</t>
  </si>
  <si>
    <t>Дан Града (културне манифестације )</t>
  </si>
  <si>
    <t>Вриједност у базној години (2020)</t>
  </si>
  <si>
    <t>17,8%, 56,0%</t>
  </si>
  <si>
    <t>18,6%, 55,3%</t>
  </si>
  <si>
    <t>2,3%,</t>
  </si>
  <si>
    <t>4,5%</t>
  </si>
  <si>
    <t>1,8%</t>
  </si>
  <si>
    <t>1,7%</t>
  </si>
  <si>
    <t>Број укључених у рад организација и удружења у област културе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</si>
</sst>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M_-;\-* #,##0.00\ _K_M_-;_-* &quot;-&quot;??\ _K_M_-;_-@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1" xfId="0" applyFont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 wrapText="1"/>
    </xf>
    <xf numFmtId="2" fontId="6" fillId="0" borderId="0" xfId="0" applyNumberFormat="1" applyFont="1"/>
    <xf numFmtId="0" fontId="6" fillId="0" borderId="0" xfId="0" applyFont="1" applyAlignment="1">
      <alignment horizontal="center"/>
    </xf>
    <xf numFmtId="49" fontId="6" fillId="0" borderId="0" xfId="0" applyNumberFormat="1" applyFont="1" applyFill="1" applyBorder="1" applyAlignment="1">
      <alignment vertical="top" wrapText="1"/>
    </xf>
    <xf numFmtId="4" fontId="6" fillId="0" borderId="0" xfId="0" applyNumberFormat="1" applyFont="1"/>
    <xf numFmtId="43" fontId="6" fillId="0" borderId="0" xfId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9" fontId="11" fillId="0" borderId="0" xfId="0" applyNumberFormat="1" applyFont="1" applyFill="1" applyBorder="1" applyAlignment="1">
      <alignment vertical="top" wrapText="1"/>
    </xf>
    <xf numFmtId="2" fontId="11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indent="4"/>
    </xf>
    <xf numFmtId="3" fontId="11" fillId="3" borderId="1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3" fillId="0" borderId="1" xfId="1" applyNumberFormat="1" applyFont="1" applyFill="1" applyBorder="1" applyAlignment="1" applyProtection="1">
      <alignment horizontal="right" vertical="center"/>
    </xf>
    <xf numFmtId="3" fontId="14" fillId="3" borderId="1" xfId="0" applyNumberFormat="1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3" fontId="10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3" fillId="0" borderId="0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49" fontId="10" fillId="0" borderId="14" xfId="0" applyNumberFormat="1" applyFont="1" applyFill="1" applyBorder="1" applyAlignment="1">
      <alignment horizontal="right" vertical="center" wrapText="1"/>
    </xf>
    <xf numFmtId="49" fontId="10" fillId="0" borderId="15" xfId="0" applyNumberFormat="1" applyFont="1" applyFill="1" applyBorder="1" applyAlignment="1">
      <alignment horizontal="right" vertical="center" wrapText="1"/>
    </xf>
    <xf numFmtId="49" fontId="10" fillId="0" borderId="9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49" fontId="5" fillId="0" borderId="14" xfId="0" applyNumberFormat="1" applyFont="1" applyFill="1" applyBorder="1" applyAlignment="1">
      <alignment horizontal="right" vertical="center" wrapText="1"/>
    </xf>
    <xf numFmtId="49" fontId="5" fillId="0" borderId="15" xfId="0" applyNumberFormat="1" applyFont="1" applyFill="1" applyBorder="1" applyAlignment="1">
      <alignment horizontal="right" vertical="center" wrapText="1"/>
    </xf>
    <xf numFmtId="49" fontId="5" fillId="0" borderId="9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7" fillId="0" borderId="5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zoomScaleNormal="100" zoomScaleSheetLayoutView="120" workbookViewId="0">
      <selection activeCell="C21" sqref="C21"/>
    </sheetView>
  </sheetViews>
  <sheetFormatPr defaultColWidth="8.85546875" defaultRowHeight="11.25" x14ac:dyDescent="0.2"/>
  <cols>
    <col min="1" max="1" width="12" style="37" customWidth="1"/>
    <col min="2" max="2" width="17.7109375" style="56" customWidth="1"/>
    <col min="3" max="3" width="28.28515625" style="56" customWidth="1"/>
    <col min="4" max="4" width="25.42578125" style="37" customWidth="1"/>
    <col min="5" max="5" width="15.42578125" style="37" customWidth="1"/>
    <col min="6" max="6" width="14.42578125" style="37" customWidth="1"/>
    <col min="7" max="7" width="15" style="37" customWidth="1"/>
    <col min="8" max="8" width="15.140625" style="37" customWidth="1"/>
    <col min="9" max="9" width="15.7109375" style="37" customWidth="1"/>
    <col min="10" max="16384" width="8.85546875" style="37"/>
  </cols>
  <sheetData>
    <row r="1" spans="1:9" ht="12" thickBot="1" x14ac:dyDescent="0.25">
      <c r="A1" s="85" t="s">
        <v>11</v>
      </c>
      <c r="B1" s="86"/>
      <c r="C1" s="86"/>
      <c r="D1" s="86"/>
      <c r="E1" s="86"/>
      <c r="F1" s="86"/>
      <c r="G1" s="86"/>
      <c r="H1" s="86"/>
      <c r="I1" s="87"/>
    </row>
    <row r="2" spans="1:9" x14ac:dyDescent="0.2">
      <c r="A2" s="96" t="s">
        <v>12</v>
      </c>
      <c r="B2" s="80"/>
      <c r="C2" s="94" t="s">
        <v>13</v>
      </c>
      <c r="D2" s="94"/>
      <c r="E2" s="94"/>
      <c r="F2" s="94"/>
      <c r="G2" s="94"/>
      <c r="H2" s="94"/>
      <c r="I2" s="95"/>
    </row>
    <row r="3" spans="1:9" x14ac:dyDescent="0.2">
      <c r="A3" s="96" t="s">
        <v>14</v>
      </c>
      <c r="B3" s="80"/>
      <c r="C3" s="94" t="s">
        <v>15</v>
      </c>
      <c r="D3" s="94"/>
      <c r="E3" s="94"/>
      <c r="F3" s="94"/>
      <c r="G3" s="94"/>
      <c r="H3" s="94"/>
      <c r="I3" s="95"/>
    </row>
    <row r="4" spans="1:9" x14ac:dyDescent="0.2">
      <c r="A4" s="96" t="s">
        <v>16</v>
      </c>
      <c r="B4" s="80"/>
      <c r="C4" s="92" t="s">
        <v>17</v>
      </c>
      <c r="D4" s="92"/>
      <c r="E4" s="92"/>
      <c r="F4" s="92"/>
      <c r="G4" s="92"/>
      <c r="H4" s="92"/>
      <c r="I4" s="93"/>
    </row>
    <row r="5" spans="1:9" x14ac:dyDescent="0.2">
      <c r="A5" s="96" t="s">
        <v>18</v>
      </c>
      <c r="B5" s="80"/>
      <c r="C5" s="90" t="s">
        <v>19</v>
      </c>
      <c r="D5" s="90"/>
      <c r="E5" s="90"/>
      <c r="F5" s="90"/>
      <c r="G5" s="90"/>
      <c r="H5" s="90"/>
      <c r="I5" s="91"/>
    </row>
    <row r="6" spans="1:9" x14ac:dyDescent="0.2">
      <c r="A6" s="79" t="s">
        <v>20</v>
      </c>
      <c r="B6" s="80"/>
      <c r="C6" s="99" t="s">
        <v>21</v>
      </c>
      <c r="D6" s="99"/>
      <c r="E6" s="99"/>
      <c r="F6" s="99"/>
      <c r="G6" s="99"/>
      <c r="H6" s="99"/>
      <c r="I6" s="100"/>
    </row>
    <row r="7" spans="1:9" ht="12" thickBot="1" x14ac:dyDescent="0.25">
      <c r="A7" s="97" t="s">
        <v>22</v>
      </c>
      <c r="B7" s="98"/>
      <c r="C7" s="88" t="s">
        <v>23</v>
      </c>
      <c r="D7" s="88"/>
      <c r="E7" s="88"/>
      <c r="F7" s="88"/>
      <c r="G7" s="88"/>
      <c r="H7" s="88"/>
      <c r="I7" s="89"/>
    </row>
    <row r="8" spans="1:9" x14ac:dyDescent="0.2">
      <c r="A8" s="38"/>
      <c r="B8" s="39"/>
      <c r="C8" s="40"/>
      <c r="D8" s="38"/>
      <c r="E8" s="38"/>
      <c r="F8" s="38"/>
    </row>
    <row r="9" spans="1:9" x14ac:dyDescent="0.2">
      <c r="A9" s="83"/>
      <c r="B9" s="78" t="s">
        <v>24</v>
      </c>
      <c r="C9" s="78"/>
      <c r="D9" s="78" t="s">
        <v>25</v>
      </c>
      <c r="E9" s="78"/>
      <c r="F9" s="78"/>
      <c r="G9" s="78"/>
      <c r="H9" s="78"/>
      <c r="I9" s="78"/>
    </row>
    <row r="10" spans="1:9" ht="42" x14ac:dyDescent="0.2">
      <c r="A10" s="83"/>
      <c r="B10" s="78"/>
      <c r="C10" s="78"/>
      <c r="D10" s="41" t="s">
        <v>26</v>
      </c>
      <c r="E10" s="41" t="s">
        <v>27</v>
      </c>
      <c r="F10" s="42" t="s">
        <v>28</v>
      </c>
      <c r="G10" s="42" t="s">
        <v>29</v>
      </c>
      <c r="H10" s="42" t="s">
        <v>30</v>
      </c>
      <c r="I10" s="41" t="s">
        <v>31</v>
      </c>
    </row>
    <row r="11" spans="1:9" ht="56.25" x14ac:dyDescent="0.2">
      <c r="A11" s="84">
        <v>1</v>
      </c>
      <c r="B11" s="82" t="s">
        <v>32</v>
      </c>
      <c r="C11" s="82"/>
      <c r="D11" s="43" t="s">
        <v>33</v>
      </c>
      <c r="E11" s="44" t="s">
        <v>3</v>
      </c>
      <c r="F11" s="45">
        <v>1.56</v>
      </c>
      <c r="G11" s="45">
        <v>1.56</v>
      </c>
      <c r="H11" s="45">
        <v>1.56</v>
      </c>
      <c r="I11" s="46" t="s">
        <v>34</v>
      </c>
    </row>
    <row r="12" spans="1:9" ht="56.25" x14ac:dyDescent="0.2">
      <c r="A12" s="84"/>
      <c r="B12" s="82"/>
      <c r="C12" s="82"/>
      <c r="D12" s="43" t="s">
        <v>10</v>
      </c>
      <c r="E12" s="47" t="s">
        <v>4</v>
      </c>
      <c r="F12" s="47" t="s">
        <v>9</v>
      </c>
      <c r="G12" s="47" t="s">
        <v>9</v>
      </c>
      <c r="H12" s="47" t="s">
        <v>9</v>
      </c>
      <c r="I12" s="46" t="s">
        <v>34</v>
      </c>
    </row>
    <row r="13" spans="1:9" ht="33.75" x14ac:dyDescent="0.2">
      <c r="A13" s="84"/>
      <c r="B13" s="82"/>
      <c r="C13" s="82"/>
      <c r="D13" s="43" t="s">
        <v>35</v>
      </c>
      <c r="E13" s="47" t="s">
        <v>4</v>
      </c>
      <c r="F13" s="47" t="s">
        <v>4</v>
      </c>
      <c r="G13" s="47" t="s">
        <v>4</v>
      </c>
      <c r="H13" s="47" t="s">
        <v>4</v>
      </c>
      <c r="I13" s="46" t="s">
        <v>36</v>
      </c>
    </row>
    <row r="14" spans="1:9" ht="22.5" x14ac:dyDescent="0.2">
      <c r="A14" s="84"/>
      <c r="B14" s="82"/>
      <c r="C14" s="82"/>
      <c r="D14" s="43" t="s">
        <v>37</v>
      </c>
      <c r="E14" s="44" t="s">
        <v>141</v>
      </c>
      <c r="F14" s="48">
        <v>5.1900000000000002E-2</v>
      </c>
      <c r="G14" s="48">
        <v>5.1900000000000002E-2</v>
      </c>
      <c r="H14" s="48">
        <v>5.1900000000000002E-2</v>
      </c>
      <c r="I14" s="46" t="s">
        <v>38</v>
      </c>
    </row>
    <row r="15" spans="1:9" x14ac:dyDescent="0.2">
      <c r="A15" s="49"/>
      <c r="B15" s="49"/>
      <c r="C15" s="49"/>
      <c r="D15" s="81"/>
      <c r="E15" s="81"/>
      <c r="F15" s="81"/>
      <c r="G15" s="50"/>
    </row>
    <row r="16" spans="1:9" ht="21" x14ac:dyDescent="0.2">
      <c r="A16" s="51"/>
      <c r="B16" s="78" t="s">
        <v>39</v>
      </c>
      <c r="C16" s="78"/>
      <c r="D16" s="78"/>
      <c r="E16" s="42" t="s">
        <v>139</v>
      </c>
      <c r="F16" s="42" t="s">
        <v>40</v>
      </c>
      <c r="G16" s="42" t="s">
        <v>41</v>
      </c>
      <c r="H16" s="42" t="s">
        <v>140</v>
      </c>
      <c r="I16" s="42" t="s">
        <v>145</v>
      </c>
    </row>
    <row r="17" spans="1:9" ht="19.5" customHeight="1" x14ac:dyDescent="0.2">
      <c r="A17" s="52">
        <v>1</v>
      </c>
      <c r="B17" s="53" t="s">
        <v>42</v>
      </c>
      <c r="C17" s="102" t="s">
        <v>43</v>
      </c>
      <c r="D17" s="103"/>
      <c r="E17" s="58">
        <f>340000+724000+146300+50000</f>
        <v>1260300</v>
      </c>
      <c r="F17" s="58">
        <f>346000+780000+170100+52000</f>
        <v>1348100</v>
      </c>
      <c r="G17" s="58">
        <f t="shared" ref="G17:H17" si="0">346000+780000+170100+52000</f>
        <v>1348100</v>
      </c>
      <c r="H17" s="58">
        <f t="shared" si="0"/>
        <v>1348100</v>
      </c>
      <c r="I17" s="58">
        <f>SUM(F17:H17)</f>
        <v>4044300</v>
      </c>
    </row>
    <row r="18" spans="1:9" ht="18.75" customHeight="1" x14ac:dyDescent="0.2">
      <c r="A18" s="52">
        <v>2</v>
      </c>
      <c r="B18" s="53" t="s">
        <v>42</v>
      </c>
      <c r="C18" s="102" t="s">
        <v>44</v>
      </c>
      <c r="D18" s="103"/>
      <c r="E18" s="58">
        <v>75000</v>
      </c>
      <c r="F18" s="58">
        <v>100000</v>
      </c>
      <c r="G18" s="58">
        <v>100000</v>
      </c>
      <c r="H18" s="58">
        <v>100000</v>
      </c>
      <c r="I18" s="58">
        <f t="shared" ref="I18:I20" si="1">SUM(F18:H18)</f>
        <v>300000</v>
      </c>
    </row>
    <row r="19" spans="1:9" ht="21" customHeight="1" x14ac:dyDescent="0.2">
      <c r="A19" s="52">
        <v>3</v>
      </c>
      <c r="B19" s="53" t="s">
        <v>42</v>
      </c>
      <c r="C19" s="102" t="s">
        <v>45</v>
      </c>
      <c r="D19" s="103"/>
      <c r="E19" s="58">
        <v>70000</v>
      </c>
      <c r="F19" s="58">
        <v>80000</v>
      </c>
      <c r="G19" s="58">
        <v>80000</v>
      </c>
      <c r="H19" s="58">
        <v>80000</v>
      </c>
      <c r="I19" s="58">
        <f t="shared" si="1"/>
        <v>240000</v>
      </c>
    </row>
    <row r="20" spans="1:9" x14ac:dyDescent="0.2">
      <c r="A20" s="104" t="s">
        <v>46</v>
      </c>
      <c r="B20" s="105"/>
      <c r="C20" s="105"/>
      <c r="D20" s="106"/>
      <c r="E20" s="59">
        <f>+E17+E18+E19</f>
        <v>1405300</v>
      </c>
      <c r="F20" s="59">
        <f>+F17+F18+F19</f>
        <v>1528100</v>
      </c>
      <c r="G20" s="59">
        <f t="shared" ref="G20:H20" si="2">+G17+G18+G19</f>
        <v>1528100</v>
      </c>
      <c r="H20" s="59">
        <f t="shared" si="2"/>
        <v>1528100</v>
      </c>
      <c r="I20" s="59">
        <f t="shared" si="1"/>
        <v>4584300</v>
      </c>
    </row>
    <row r="21" spans="1:9" x14ac:dyDescent="0.2">
      <c r="A21" s="49"/>
      <c r="B21" s="49"/>
      <c r="C21" s="49"/>
      <c r="D21" s="54"/>
      <c r="E21" s="55"/>
      <c r="F21" s="55"/>
      <c r="G21" s="55"/>
      <c r="H21" s="55"/>
    </row>
    <row r="22" spans="1:9" x14ac:dyDescent="0.2">
      <c r="A22" s="49"/>
      <c r="B22" s="49"/>
      <c r="C22" s="49"/>
      <c r="D22" s="101"/>
      <c r="E22" s="101"/>
      <c r="F22" s="101"/>
      <c r="G22" s="50"/>
    </row>
    <row r="23" spans="1:9" x14ac:dyDescent="0.2">
      <c r="A23" s="49"/>
      <c r="B23" s="49"/>
      <c r="C23" s="49"/>
      <c r="D23" s="101"/>
      <c r="E23" s="101"/>
      <c r="F23" s="101"/>
      <c r="G23" s="50"/>
    </row>
    <row r="24" spans="1:9" x14ac:dyDescent="0.2">
      <c r="C24" s="57"/>
    </row>
    <row r="25" spans="1:9" x14ac:dyDescent="0.2">
      <c r="C25" s="57"/>
    </row>
    <row r="26" spans="1:9" x14ac:dyDescent="0.2">
      <c r="C26" s="57"/>
    </row>
    <row r="27" spans="1:9" x14ac:dyDescent="0.2">
      <c r="C27" s="57"/>
    </row>
    <row r="28" spans="1:9" x14ac:dyDescent="0.2">
      <c r="C28" s="37"/>
    </row>
  </sheetData>
  <mergeCells count="26">
    <mergeCell ref="D22:F22"/>
    <mergeCell ref="D23:F23"/>
    <mergeCell ref="B16:D16"/>
    <mergeCell ref="C17:D17"/>
    <mergeCell ref="C18:D18"/>
    <mergeCell ref="C19:D19"/>
    <mergeCell ref="A20:D20"/>
    <mergeCell ref="A1:I1"/>
    <mergeCell ref="C7:I7"/>
    <mergeCell ref="C5:I5"/>
    <mergeCell ref="C4:I4"/>
    <mergeCell ref="C3:I3"/>
    <mergeCell ref="C2:I2"/>
    <mergeCell ref="A5:B5"/>
    <mergeCell ref="A7:B7"/>
    <mergeCell ref="C6:I6"/>
    <mergeCell ref="A2:B2"/>
    <mergeCell ref="A3:B3"/>
    <mergeCell ref="A4:B4"/>
    <mergeCell ref="D9:I9"/>
    <mergeCell ref="A6:B6"/>
    <mergeCell ref="D15:F15"/>
    <mergeCell ref="B11:C14"/>
    <mergeCell ref="B9:C10"/>
    <mergeCell ref="A9:A10"/>
    <mergeCell ref="A11:A14"/>
  </mergeCells>
  <printOptions horizontalCentered="1"/>
  <pageMargins left="0.39370078740157483" right="0.31496062992125984" top="0.98425196850393704" bottom="0.98425196850393704" header="0.51181102362204722" footer="0.51181102362204722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view="pageBreakPreview" topLeftCell="A4" zoomScale="120" zoomScaleNormal="120" zoomScaleSheetLayoutView="120" workbookViewId="0">
      <selection activeCell="C8" sqref="C8:I8"/>
    </sheetView>
  </sheetViews>
  <sheetFormatPr defaultColWidth="8.85546875" defaultRowHeight="11.25" x14ac:dyDescent="0.2"/>
  <cols>
    <col min="1" max="1" width="6.7109375" style="7" customWidth="1"/>
    <col min="2" max="2" width="17" style="33" customWidth="1"/>
    <col min="3" max="3" width="10.140625" style="33" customWidth="1"/>
    <col min="4" max="4" width="36.42578125" style="7" customWidth="1"/>
    <col min="5" max="5" width="13.42578125" style="7" customWidth="1"/>
    <col min="6" max="6" width="14" style="7" customWidth="1"/>
    <col min="7" max="7" width="14.85546875" style="7" customWidth="1"/>
    <col min="8" max="8" width="15.28515625" style="7" customWidth="1"/>
    <col min="9" max="9" width="19.85546875" style="7" customWidth="1"/>
    <col min="10" max="13" width="0" style="7" hidden="1" customWidth="1"/>
    <col min="14" max="16384" width="8.85546875" style="7"/>
  </cols>
  <sheetData>
    <row r="1" spans="1:13" ht="12" thickBot="1" x14ac:dyDescent="0.25">
      <c r="A1" s="123" t="s">
        <v>136</v>
      </c>
      <c r="B1" s="124"/>
      <c r="C1" s="124"/>
      <c r="D1" s="124"/>
      <c r="E1" s="124"/>
      <c r="F1" s="124"/>
      <c r="G1" s="124"/>
      <c r="H1" s="124"/>
      <c r="I1" s="125"/>
    </row>
    <row r="2" spans="1:13" x14ac:dyDescent="0.2">
      <c r="A2" s="126" t="s">
        <v>69</v>
      </c>
      <c r="B2" s="127"/>
      <c r="C2" s="128" t="s">
        <v>13</v>
      </c>
      <c r="D2" s="128"/>
      <c r="E2" s="128"/>
      <c r="F2" s="128"/>
      <c r="G2" s="128"/>
      <c r="H2" s="128"/>
      <c r="I2" s="129"/>
    </row>
    <row r="3" spans="1:13" s="8" customFormat="1" x14ac:dyDescent="0.2">
      <c r="A3" s="113" t="s">
        <v>70</v>
      </c>
      <c r="B3" s="114"/>
      <c r="C3" s="133" t="s">
        <v>71</v>
      </c>
      <c r="D3" s="133"/>
      <c r="E3" s="133"/>
      <c r="F3" s="133"/>
      <c r="G3" s="133"/>
      <c r="H3" s="133"/>
      <c r="I3" s="134"/>
    </row>
    <row r="4" spans="1:13" x14ac:dyDescent="0.2">
      <c r="A4" s="137" t="s">
        <v>72</v>
      </c>
      <c r="B4" s="114"/>
      <c r="C4" s="135" t="s">
        <v>73</v>
      </c>
      <c r="D4" s="135"/>
      <c r="E4" s="135"/>
      <c r="F4" s="135"/>
      <c r="G4" s="135"/>
      <c r="H4" s="135"/>
      <c r="I4" s="136"/>
    </row>
    <row r="5" spans="1:13" x14ac:dyDescent="0.2">
      <c r="A5" s="113" t="s">
        <v>14</v>
      </c>
      <c r="B5" s="114"/>
      <c r="C5" s="139" t="s">
        <v>74</v>
      </c>
      <c r="D5" s="139"/>
      <c r="E5" s="139"/>
      <c r="F5" s="139"/>
      <c r="G5" s="139"/>
      <c r="H5" s="139"/>
      <c r="I5" s="140"/>
    </row>
    <row r="6" spans="1:13" ht="24.95" customHeight="1" x14ac:dyDescent="0.2">
      <c r="A6" s="113" t="s">
        <v>16</v>
      </c>
      <c r="B6" s="114"/>
      <c r="C6" s="115" t="s">
        <v>75</v>
      </c>
      <c r="D6" s="115"/>
      <c r="E6" s="115"/>
      <c r="F6" s="115"/>
      <c r="G6" s="115"/>
      <c r="H6" s="115"/>
      <c r="I6" s="116"/>
    </row>
    <row r="7" spans="1:13" ht="27.75" customHeight="1" x14ac:dyDescent="0.2">
      <c r="A7" s="113" t="s">
        <v>18</v>
      </c>
      <c r="B7" s="114"/>
      <c r="C7" s="115" t="s">
        <v>76</v>
      </c>
      <c r="D7" s="115"/>
      <c r="E7" s="115"/>
      <c r="F7" s="115"/>
      <c r="G7" s="115"/>
      <c r="H7" s="115"/>
      <c r="I7" s="116"/>
    </row>
    <row r="8" spans="1:13" ht="34.5" customHeight="1" thickBot="1" x14ac:dyDescent="0.25">
      <c r="A8" s="118" t="s">
        <v>77</v>
      </c>
      <c r="B8" s="119"/>
      <c r="C8" s="120" t="s">
        <v>21</v>
      </c>
      <c r="D8" s="120"/>
      <c r="E8" s="120"/>
      <c r="F8" s="120"/>
      <c r="G8" s="120"/>
      <c r="H8" s="120"/>
      <c r="I8" s="121"/>
    </row>
    <row r="9" spans="1:13" x14ac:dyDescent="0.2">
      <c r="A9" s="9"/>
      <c r="B9" s="10"/>
      <c r="C9" s="11"/>
      <c r="D9" s="9"/>
      <c r="E9" s="9"/>
      <c r="F9" s="9"/>
    </row>
    <row r="10" spans="1:13" x14ac:dyDescent="0.2">
      <c r="A10" s="122"/>
      <c r="B10" s="108" t="s">
        <v>24</v>
      </c>
      <c r="C10" s="108"/>
      <c r="D10" s="108" t="s">
        <v>78</v>
      </c>
      <c r="E10" s="108"/>
      <c r="F10" s="108"/>
      <c r="G10" s="108"/>
      <c r="H10" s="108"/>
      <c r="I10" s="108"/>
      <c r="J10" s="7">
        <v>32605000</v>
      </c>
      <c r="M10" s="7">
        <v>27402000</v>
      </c>
    </row>
    <row r="11" spans="1:13" ht="31.5" x14ac:dyDescent="0.2">
      <c r="A11" s="122"/>
      <c r="B11" s="108"/>
      <c r="C11" s="108"/>
      <c r="D11" s="12" t="s">
        <v>26</v>
      </c>
      <c r="E11" s="12" t="s">
        <v>153</v>
      </c>
      <c r="F11" s="13" t="s">
        <v>29</v>
      </c>
      <c r="G11" s="13" t="s">
        <v>30</v>
      </c>
      <c r="H11" s="13" t="s">
        <v>151</v>
      </c>
      <c r="I11" s="12" t="s">
        <v>31</v>
      </c>
      <c r="J11" s="7">
        <f>4000+8000+1500+8600</f>
        <v>22100</v>
      </c>
      <c r="M11" s="7">
        <f>8000+8000+1000+9000</f>
        <v>26000</v>
      </c>
    </row>
    <row r="12" spans="1:13" ht="45" x14ac:dyDescent="0.2">
      <c r="A12" s="138">
        <v>1</v>
      </c>
      <c r="B12" s="117" t="s">
        <v>79</v>
      </c>
      <c r="C12" s="117"/>
      <c r="D12" s="14" t="s">
        <v>80</v>
      </c>
      <c r="E12" s="15" t="s">
        <v>154</v>
      </c>
      <c r="F12" s="15" t="s">
        <v>155</v>
      </c>
      <c r="G12" s="15" t="s">
        <v>155</v>
      </c>
      <c r="H12" s="15" t="s">
        <v>155</v>
      </c>
      <c r="I12" s="16" t="s">
        <v>38</v>
      </c>
      <c r="J12" s="7">
        <f>171000+330000+70000</f>
        <v>571000</v>
      </c>
      <c r="K12" s="7">
        <f>6000+30000+30000+85000+8000+14000+4000+15000</f>
        <v>192000</v>
      </c>
      <c r="L12" s="7">
        <f>182000+340000+71000</f>
        <v>593000</v>
      </c>
      <c r="M12" s="7">
        <f>6000+35000+35000+85000+6500+60000+6000+16700</f>
        <v>250200</v>
      </c>
    </row>
    <row r="13" spans="1:13" ht="22.5" x14ac:dyDescent="0.2">
      <c r="A13" s="138"/>
      <c r="B13" s="117"/>
      <c r="C13" s="117"/>
      <c r="D13" s="16" t="s">
        <v>81</v>
      </c>
      <c r="E13" s="15" t="s">
        <v>158</v>
      </c>
      <c r="F13" s="15" t="s">
        <v>159</v>
      </c>
      <c r="G13" s="15" t="s">
        <v>159</v>
      </c>
      <c r="H13" s="15" t="s">
        <v>159</v>
      </c>
      <c r="I13" s="16" t="s">
        <v>38</v>
      </c>
      <c r="J13" s="7">
        <v>1112500</v>
      </c>
      <c r="K13" s="7">
        <v>1112500</v>
      </c>
      <c r="L13" s="7">
        <f>308000+694500+156900+54000</f>
        <v>1213400</v>
      </c>
      <c r="M13" s="7">
        <f>308000+694500+156900+54000</f>
        <v>1213400</v>
      </c>
    </row>
    <row r="14" spans="1:13" ht="33.75" x14ac:dyDescent="0.2">
      <c r="A14" s="138"/>
      <c r="B14" s="117"/>
      <c r="C14" s="117"/>
      <c r="D14" s="16" t="s">
        <v>82</v>
      </c>
      <c r="E14" s="17" t="s">
        <v>2</v>
      </c>
      <c r="F14" s="17" t="s">
        <v>2</v>
      </c>
      <c r="G14" s="17" t="s">
        <v>5</v>
      </c>
      <c r="H14" s="17" t="s">
        <v>6</v>
      </c>
      <c r="I14" s="16" t="s">
        <v>83</v>
      </c>
      <c r="J14" s="7">
        <f>J12*100/J13</f>
        <v>51.325842696629216</v>
      </c>
      <c r="K14" s="7">
        <f>K12*100/K13</f>
        <v>17.258426966292134</v>
      </c>
      <c r="L14" s="7">
        <f>L12*100/L13</f>
        <v>48.87094115707928</v>
      </c>
      <c r="M14" s="7">
        <f>M12*100/M13</f>
        <v>20.619746167792979</v>
      </c>
    </row>
    <row r="15" spans="1:13" ht="22.5" x14ac:dyDescent="0.2">
      <c r="A15" s="138"/>
      <c r="B15" s="117"/>
      <c r="C15" s="117"/>
      <c r="D15" s="16" t="s">
        <v>84</v>
      </c>
      <c r="E15" s="15" t="s">
        <v>156</v>
      </c>
      <c r="F15" s="15" t="s">
        <v>157</v>
      </c>
      <c r="G15" s="15" t="s">
        <v>157</v>
      </c>
      <c r="H15" s="15" t="s">
        <v>157</v>
      </c>
      <c r="I15" s="16" t="s">
        <v>38</v>
      </c>
      <c r="J15" s="7">
        <f>+J11*100/J13</f>
        <v>1.9865168539325844</v>
      </c>
      <c r="M15" s="7">
        <f>+M11*100/M13</f>
        <v>2.1427394099225316</v>
      </c>
    </row>
    <row r="16" spans="1:13" ht="26.1" customHeight="1" x14ac:dyDescent="0.2">
      <c r="A16" s="18"/>
      <c r="B16" s="108" t="s">
        <v>24</v>
      </c>
      <c r="C16" s="108"/>
      <c r="D16" s="108" t="s">
        <v>78</v>
      </c>
      <c r="E16" s="108"/>
      <c r="F16" s="108"/>
      <c r="G16" s="108"/>
      <c r="H16" s="108"/>
      <c r="I16" s="108"/>
    </row>
    <row r="17" spans="1:13" ht="31.5" x14ac:dyDescent="0.2">
      <c r="A17" s="19"/>
      <c r="B17" s="108"/>
      <c r="C17" s="108"/>
      <c r="D17" s="12" t="s">
        <v>26</v>
      </c>
      <c r="E17" s="12" t="s">
        <v>27</v>
      </c>
      <c r="F17" s="13" t="s">
        <v>28</v>
      </c>
      <c r="G17" s="13" t="s">
        <v>29</v>
      </c>
      <c r="H17" s="13" t="s">
        <v>30</v>
      </c>
      <c r="I17" s="12" t="s">
        <v>31</v>
      </c>
      <c r="J17" s="7">
        <f>+K12*100/K13</f>
        <v>17.258426966292134</v>
      </c>
      <c r="M17" s="7">
        <f>+M12*100/M13</f>
        <v>20.619746167792979</v>
      </c>
    </row>
    <row r="18" spans="1:13" ht="33.75" x14ac:dyDescent="0.2">
      <c r="A18" s="138">
        <v>2</v>
      </c>
      <c r="B18" s="117" t="s">
        <v>85</v>
      </c>
      <c r="C18" s="117"/>
      <c r="D18" s="20" t="s">
        <v>86</v>
      </c>
      <c r="E18" s="21" t="s">
        <v>87</v>
      </c>
      <c r="F18" s="21" t="s">
        <v>87</v>
      </c>
      <c r="G18" s="21" t="s">
        <v>87</v>
      </c>
      <c r="H18" s="21" t="s">
        <v>87</v>
      </c>
      <c r="I18" s="16" t="s">
        <v>137</v>
      </c>
      <c r="J18" s="7">
        <f>+J11*100/J13</f>
        <v>1.9865168539325844</v>
      </c>
      <c r="M18" s="7">
        <f>+L12*100/L13</f>
        <v>48.87094115707928</v>
      </c>
    </row>
    <row r="19" spans="1:13" ht="38.25" customHeight="1" x14ac:dyDescent="0.2">
      <c r="A19" s="138"/>
      <c r="B19" s="117"/>
      <c r="C19" s="117"/>
      <c r="D19" s="22" t="s">
        <v>88</v>
      </c>
      <c r="E19" s="21">
        <v>84000</v>
      </c>
      <c r="F19" s="21">
        <v>84000</v>
      </c>
      <c r="G19" s="21">
        <v>84000</v>
      </c>
      <c r="H19" s="21">
        <v>84000</v>
      </c>
      <c r="I19" s="16" t="s">
        <v>137</v>
      </c>
    </row>
    <row r="20" spans="1:13" ht="27" customHeight="1" x14ac:dyDescent="0.2">
      <c r="A20" s="138"/>
      <c r="B20" s="117"/>
      <c r="C20" s="117"/>
      <c r="D20" s="20" t="s">
        <v>89</v>
      </c>
      <c r="E20" s="23">
        <f>27000*100/1260300</f>
        <v>2.1423470602237562</v>
      </c>
      <c r="F20" s="23">
        <f>26500*100/1348100</f>
        <v>1.965729545285958</v>
      </c>
      <c r="G20" s="23">
        <f t="shared" ref="G20:H20" si="0">26500*100/1348100</f>
        <v>1.965729545285958</v>
      </c>
      <c r="H20" s="23">
        <f t="shared" si="0"/>
        <v>1.965729545285958</v>
      </c>
      <c r="I20" s="16" t="s">
        <v>138</v>
      </c>
      <c r="J20" s="7">
        <f>+J13*100/J10</f>
        <v>3.412053366048152</v>
      </c>
      <c r="M20" s="7">
        <f>+M13*100/M10</f>
        <v>4.4281439310999193</v>
      </c>
    </row>
    <row r="21" spans="1:13" ht="24.75" customHeight="1" x14ac:dyDescent="0.2">
      <c r="A21" s="138"/>
      <c r="B21" s="117"/>
      <c r="C21" s="117"/>
      <c r="D21" s="20" t="s">
        <v>90</v>
      </c>
      <c r="E21" s="21">
        <v>5.32</v>
      </c>
      <c r="F21" s="21">
        <v>5.32</v>
      </c>
      <c r="G21" s="21">
        <v>5.32</v>
      </c>
      <c r="H21" s="21">
        <v>5.32</v>
      </c>
      <c r="I21" s="16" t="s">
        <v>138</v>
      </c>
    </row>
    <row r="22" spans="1:13" ht="27.95" customHeight="1" x14ac:dyDescent="0.2">
      <c r="A22" s="138"/>
      <c r="B22" s="117"/>
      <c r="C22" s="117"/>
      <c r="D22" s="20" t="s">
        <v>91</v>
      </c>
      <c r="E22" s="21">
        <v>58</v>
      </c>
      <c r="F22" s="21">
        <v>58</v>
      </c>
      <c r="G22" s="21">
        <v>58</v>
      </c>
      <c r="H22" s="21">
        <v>58</v>
      </c>
      <c r="I22" s="16" t="s">
        <v>138</v>
      </c>
    </row>
    <row r="23" spans="1:13" ht="33.75" x14ac:dyDescent="0.2">
      <c r="A23" s="138"/>
      <c r="B23" s="117"/>
      <c r="C23" s="117"/>
      <c r="D23" s="20" t="s">
        <v>92</v>
      </c>
      <c r="E23" s="21">
        <v>4509.59</v>
      </c>
      <c r="F23" s="21">
        <v>4000</v>
      </c>
      <c r="G23" s="21">
        <v>4000</v>
      </c>
      <c r="H23" s="21">
        <v>4000</v>
      </c>
      <c r="I23" s="16" t="s">
        <v>138</v>
      </c>
    </row>
    <row r="24" spans="1:13" x14ac:dyDescent="0.2">
      <c r="A24" s="19"/>
      <c r="B24" s="19"/>
      <c r="C24" s="19"/>
      <c r="D24" s="107"/>
      <c r="E24" s="107"/>
      <c r="F24" s="107"/>
      <c r="G24" s="24"/>
    </row>
    <row r="25" spans="1:13" ht="31.5" x14ac:dyDescent="0.2">
      <c r="A25" s="25"/>
      <c r="B25" s="108" t="s">
        <v>52</v>
      </c>
      <c r="C25" s="108"/>
      <c r="D25" s="108"/>
      <c r="E25" s="26" t="s">
        <v>139</v>
      </c>
      <c r="F25" s="13" t="s">
        <v>40</v>
      </c>
      <c r="G25" s="13" t="s">
        <v>41</v>
      </c>
      <c r="H25" s="13" t="s">
        <v>140</v>
      </c>
      <c r="I25" s="13" t="s">
        <v>145</v>
      </c>
    </row>
    <row r="26" spans="1:13" s="30" customFormat="1" x14ac:dyDescent="0.2">
      <c r="A26" s="27">
        <v>1</v>
      </c>
      <c r="B26" s="28">
        <v>411100</v>
      </c>
      <c r="C26" s="112" t="s">
        <v>53</v>
      </c>
      <c r="D26" s="112"/>
      <c r="E26" s="29">
        <f>198000+409000+74000</f>
        <v>681000</v>
      </c>
      <c r="F26" s="29">
        <f>204000+430000+88000</f>
        <v>722000</v>
      </c>
      <c r="G26" s="29">
        <f t="shared" ref="G26:H26" si="1">204000+430000+88000</f>
        <v>722000</v>
      </c>
      <c r="H26" s="29">
        <f t="shared" si="1"/>
        <v>722000</v>
      </c>
      <c r="I26" s="29">
        <f>SUM(F26:H26)</f>
        <v>2166000</v>
      </c>
    </row>
    <row r="27" spans="1:13" s="30" customFormat="1" x14ac:dyDescent="0.2">
      <c r="A27" s="27">
        <v>2</v>
      </c>
      <c r="B27" s="28">
        <v>411200</v>
      </c>
      <c r="C27" s="112" t="s">
        <v>54</v>
      </c>
      <c r="D27" s="112"/>
      <c r="E27" s="29">
        <f>40000+80000+8600+2800</f>
        <v>131400</v>
      </c>
      <c r="F27" s="29">
        <f>40000+85000+10000+2800</f>
        <v>137800</v>
      </c>
      <c r="G27" s="29">
        <f t="shared" ref="G27:H27" si="2">40000+85000+10000+2800</f>
        <v>137800</v>
      </c>
      <c r="H27" s="29">
        <f t="shared" si="2"/>
        <v>137800</v>
      </c>
      <c r="I27" s="29">
        <f t="shared" ref="I27:I42" si="3">SUM(F27:H27)</f>
        <v>413400</v>
      </c>
    </row>
    <row r="28" spans="1:13" s="30" customFormat="1" x14ac:dyDescent="0.2">
      <c r="A28" s="27">
        <v>3</v>
      </c>
      <c r="B28" s="28">
        <v>411300</v>
      </c>
      <c r="C28" s="112" t="s">
        <v>55</v>
      </c>
      <c r="D28" s="112"/>
      <c r="E28" s="29">
        <f>2000+5000</f>
        <v>7000</v>
      </c>
      <c r="F28" s="29">
        <f>3000+7000</f>
        <v>10000</v>
      </c>
      <c r="G28" s="29">
        <f t="shared" ref="G28:H28" si="4">3000+7000</f>
        <v>10000</v>
      </c>
      <c r="H28" s="29">
        <f t="shared" si="4"/>
        <v>10000</v>
      </c>
      <c r="I28" s="29">
        <f t="shared" si="3"/>
        <v>30000</v>
      </c>
    </row>
    <row r="29" spans="1:13" s="30" customFormat="1" x14ac:dyDescent="0.2">
      <c r="A29" s="27">
        <v>4</v>
      </c>
      <c r="B29" s="28">
        <v>411400</v>
      </c>
      <c r="C29" s="112" t="s">
        <v>56</v>
      </c>
      <c r="D29" s="112"/>
      <c r="E29" s="31">
        <f>3000+4000+750</f>
        <v>7750</v>
      </c>
      <c r="F29" s="31">
        <f>3000+2000+1500</f>
        <v>6500</v>
      </c>
      <c r="G29" s="31">
        <f t="shared" ref="G29:H29" si="5">3000+2000+1500</f>
        <v>6500</v>
      </c>
      <c r="H29" s="31">
        <f t="shared" si="5"/>
        <v>6500</v>
      </c>
      <c r="I29" s="29">
        <f t="shared" si="3"/>
        <v>19500</v>
      </c>
    </row>
    <row r="30" spans="1:13" s="30" customFormat="1" x14ac:dyDescent="0.2">
      <c r="A30" s="27">
        <v>5</v>
      </c>
      <c r="B30" s="28">
        <v>412200</v>
      </c>
      <c r="C30" s="112" t="s">
        <v>57</v>
      </c>
      <c r="D30" s="112"/>
      <c r="E30" s="31">
        <f>10000+80000+2200+9300</f>
        <v>101500</v>
      </c>
      <c r="F30" s="31">
        <f>10000+80000+3000+9400</f>
        <v>102400</v>
      </c>
      <c r="G30" s="31">
        <f t="shared" ref="G30:H30" si="6">10000+80000+3000+9400</f>
        <v>102400</v>
      </c>
      <c r="H30" s="31">
        <f t="shared" si="6"/>
        <v>102400</v>
      </c>
      <c r="I30" s="29">
        <f t="shared" si="3"/>
        <v>307200</v>
      </c>
    </row>
    <row r="31" spans="1:13" s="30" customFormat="1" x14ac:dyDescent="0.2">
      <c r="A31" s="27">
        <v>6</v>
      </c>
      <c r="B31" s="28">
        <v>412300</v>
      </c>
      <c r="C31" s="112" t="s">
        <v>58</v>
      </c>
      <c r="D31" s="112"/>
      <c r="E31" s="31">
        <f>3000+12000+200+4900</f>
        <v>20100</v>
      </c>
      <c r="F31" s="31">
        <f>3000+10000+500+4900</f>
        <v>18400</v>
      </c>
      <c r="G31" s="31">
        <f t="shared" ref="G31:H31" si="7">3000+10000+500+4900</f>
        <v>18400</v>
      </c>
      <c r="H31" s="31">
        <f t="shared" si="7"/>
        <v>18400</v>
      </c>
      <c r="I31" s="29">
        <f t="shared" si="3"/>
        <v>55200</v>
      </c>
    </row>
    <row r="32" spans="1:13" s="30" customFormat="1" x14ac:dyDescent="0.2">
      <c r="A32" s="27">
        <v>7</v>
      </c>
      <c r="B32" s="28">
        <v>412400</v>
      </c>
      <c r="C32" s="112" t="s">
        <v>59</v>
      </c>
      <c r="D32" s="112"/>
      <c r="E32" s="31">
        <v>300</v>
      </c>
      <c r="F32" s="31">
        <v>500</v>
      </c>
      <c r="G32" s="31">
        <v>500</v>
      </c>
      <c r="H32" s="31">
        <v>500</v>
      </c>
      <c r="I32" s="29">
        <f t="shared" si="3"/>
        <v>1500</v>
      </c>
    </row>
    <row r="33" spans="1:11" s="30" customFormat="1" x14ac:dyDescent="0.2">
      <c r="A33" s="27">
        <v>8</v>
      </c>
      <c r="B33" s="28">
        <v>412500</v>
      </c>
      <c r="C33" s="112" t="s">
        <v>60</v>
      </c>
      <c r="D33" s="112"/>
      <c r="E33" s="31">
        <f>6000+15000+100+1100</f>
        <v>22200</v>
      </c>
      <c r="F33" s="31">
        <f>6000+20000+200+1000</f>
        <v>27200</v>
      </c>
      <c r="G33" s="31">
        <f t="shared" ref="G33:H33" si="8">6000+20000+200+1000</f>
        <v>27200</v>
      </c>
      <c r="H33" s="31">
        <f t="shared" si="8"/>
        <v>27200</v>
      </c>
      <c r="I33" s="29">
        <f t="shared" si="3"/>
        <v>81600</v>
      </c>
    </row>
    <row r="34" spans="1:11" s="30" customFormat="1" x14ac:dyDescent="0.2">
      <c r="A34" s="27">
        <v>9</v>
      </c>
      <c r="B34" s="28">
        <v>412600</v>
      </c>
      <c r="C34" s="112" t="s">
        <v>61</v>
      </c>
      <c r="D34" s="112"/>
      <c r="E34" s="31">
        <f>9000+2000+1500+2300</f>
        <v>14800</v>
      </c>
      <c r="F34" s="31">
        <f>10000+5000+4000+3300</f>
        <v>22300</v>
      </c>
      <c r="G34" s="31">
        <f t="shared" ref="G34:H34" si="9">10000+5000+4000+3300</f>
        <v>22300</v>
      </c>
      <c r="H34" s="31">
        <f t="shared" si="9"/>
        <v>22300</v>
      </c>
      <c r="I34" s="29">
        <f t="shared" si="3"/>
        <v>66900</v>
      </c>
    </row>
    <row r="35" spans="1:11" s="30" customFormat="1" x14ac:dyDescent="0.2">
      <c r="A35" s="27">
        <v>10</v>
      </c>
      <c r="B35" s="28">
        <v>412700</v>
      </c>
      <c r="C35" s="112" t="s">
        <v>62</v>
      </c>
      <c r="D35" s="112"/>
      <c r="E35" s="31">
        <f>11000+25000+3700+4500</f>
        <v>44200</v>
      </c>
      <c r="F35" s="31">
        <f>11000+33000+6000+4500</f>
        <v>54500</v>
      </c>
      <c r="G35" s="31">
        <f t="shared" ref="G35:H35" si="10">11000+33000+6000+4500</f>
        <v>54500</v>
      </c>
      <c r="H35" s="31">
        <f t="shared" si="10"/>
        <v>54500</v>
      </c>
      <c r="I35" s="29">
        <f t="shared" si="3"/>
        <v>163500</v>
      </c>
    </row>
    <row r="36" spans="1:11" s="30" customFormat="1" x14ac:dyDescent="0.2">
      <c r="A36" s="27">
        <v>11</v>
      </c>
      <c r="B36" s="28">
        <v>412900</v>
      </c>
      <c r="C36" s="112" t="s">
        <v>63</v>
      </c>
      <c r="D36" s="112"/>
      <c r="E36" s="31">
        <f>50000+60000+54000+15700</f>
        <v>179700</v>
      </c>
      <c r="F36" s="31">
        <f t="shared" ref="F36:G36" si="11">45000+80000+55000+16300</f>
        <v>196300</v>
      </c>
      <c r="G36" s="31">
        <f t="shared" si="11"/>
        <v>196300</v>
      </c>
      <c r="H36" s="31">
        <f>45000+80000+55000+16300</f>
        <v>196300</v>
      </c>
      <c r="I36" s="29">
        <f t="shared" si="3"/>
        <v>588900</v>
      </c>
    </row>
    <row r="37" spans="1:11" s="30" customFormat="1" x14ac:dyDescent="0.2">
      <c r="A37" s="27">
        <v>12</v>
      </c>
      <c r="B37" s="28">
        <v>418400</v>
      </c>
      <c r="C37" s="112" t="s">
        <v>64</v>
      </c>
      <c r="D37" s="112"/>
      <c r="E37" s="31">
        <f>150+2000+700+300</f>
        <v>3150</v>
      </c>
      <c r="F37" s="31">
        <f>0+2000+700+300</f>
        <v>3000</v>
      </c>
      <c r="G37" s="31">
        <f t="shared" ref="G37:H37" si="12">0+2000+700+300</f>
        <v>3000</v>
      </c>
      <c r="H37" s="31">
        <f t="shared" si="12"/>
        <v>3000</v>
      </c>
      <c r="I37" s="29">
        <f t="shared" si="3"/>
        <v>9000</v>
      </c>
    </row>
    <row r="38" spans="1:11" s="30" customFormat="1" x14ac:dyDescent="0.2">
      <c r="A38" s="27">
        <v>13</v>
      </c>
      <c r="B38" s="28">
        <v>511200</v>
      </c>
      <c r="C38" s="112" t="s">
        <v>65</v>
      </c>
      <c r="D38" s="112"/>
      <c r="E38" s="31">
        <f>1000</f>
        <v>1000</v>
      </c>
      <c r="F38" s="31">
        <f>3000</f>
        <v>3000</v>
      </c>
      <c r="G38" s="31">
        <f>3000</f>
        <v>3000</v>
      </c>
      <c r="H38" s="31">
        <f>3000</f>
        <v>3000</v>
      </c>
      <c r="I38" s="29">
        <f t="shared" si="3"/>
        <v>9000</v>
      </c>
    </row>
    <row r="39" spans="1:11" s="30" customFormat="1" x14ac:dyDescent="0.2">
      <c r="A39" s="27">
        <v>14</v>
      </c>
      <c r="B39" s="28">
        <v>511300</v>
      </c>
      <c r="C39" s="112" t="s">
        <v>66</v>
      </c>
      <c r="D39" s="112"/>
      <c r="E39" s="31">
        <f>4000+8000+400+8800</f>
        <v>21200</v>
      </c>
      <c r="F39" s="31">
        <f>4000+5000+700+9000</f>
        <v>18700</v>
      </c>
      <c r="G39" s="31">
        <f t="shared" ref="G39:H39" si="13">4000+5000+700+9000</f>
        <v>18700</v>
      </c>
      <c r="H39" s="31">
        <f t="shared" si="13"/>
        <v>18700</v>
      </c>
      <c r="I39" s="29">
        <f t="shared" si="3"/>
        <v>56100</v>
      </c>
    </row>
    <row r="40" spans="1:11" s="30" customFormat="1" x14ac:dyDescent="0.2">
      <c r="A40" s="27">
        <v>15</v>
      </c>
      <c r="B40" s="28">
        <v>516100</v>
      </c>
      <c r="C40" s="112" t="s">
        <v>142</v>
      </c>
      <c r="D40" s="109"/>
      <c r="E40" s="31">
        <f>350+500+150</f>
        <v>1000</v>
      </c>
      <c r="F40" s="31">
        <f>1000+500</f>
        <v>1500</v>
      </c>
      <c r="G40" s="31">
        <f t="shared" ref="G40:H40" si="14">1000+500</f>
        <v>1500</v>
      </c>
      <c r="H40" s="31">
        <f t="shared" si="14"/>
        <v>1500</v>
      </c>
      <c r="I40" s="29">
        <f t="shared" si="3"/>
        <v>4500</v>
      </c>
    </row>
    <row r="41" spans="1:11" s="30" customFormat="1" x14ac:dyDescent="0.2">
      <c r="A41" s="27">
        <v>16</v>
      </c>
      <c r="B41" s="28">
        <v>631000</v>
      </c>
      <c r="C41" s="112" t="s">
        <v>67</v>
      </c>
      <c r="D41" s="109"/>
      <c r="E41" s="31">
        <f>6000</f>
        <v>6000</v>
      </c>
      <c r="F41" s="31">
        <v>10000</v>
      </c>
      <c r="G41" s="31">
        <v>10000</v>
      </c>
      <c r="H41" s="31">
        <v>10000</v>
      </c>
      <c r="I41" s="29">
        <f t="shared" si="3"/>
        <v>30000</v>
      </c>
    </row>
    <row r="42" spans="1:11" s="30" customFormat="1" x14ac:dyDescent="0.2">
      <c r="A42" s="27">
        <v>17</v>
      </c>
      <c r="B42" s="28">
        <v>638000</v>
      </c>
      <c r="C42" s="112" t="s">
        <v>68</v>
      </c>
      <c r="D42" s="112"/>
      <c r="E42" s="31">
        <f>2000+16000</f>
        <v>18000</v>
      </c>
      <c r="F42" s="31">
        <f>3000+11000</f>
        <v>14000</v>
      </c>
      <c r="G42" s="31">
        <f t="shared" ref="G42:H42" si="15">3000+11000</f>
        <v>14000</v>
      </c>
      <c r="H42" s="31">
        <f t="shared" si="15"/>
        <v>14000</v>
      </c>
      <c r="I42" s="29">
        <f t="shared" si="3"/>
        <v>42000</v>
      </c>
    </row>
    <row r="43" spans="1:11" x14ac:dyDescent="0.2">
      <c r="A43" s="130" t="s">
        <v>46</v>
      </c>
      <c r="B43" s="131"/>
      <c r="C43" s="131"/>
      <c r="D43" s="132"/>
      <c r="E43" s="31">
        <f>+SUM(E26:E42)</f>
        <v>1260300</v>
      </c>
      <c r="F43" s="31">
        <f>+SUM(F26:F42)</f>
        <v>1348100</v>
      </c>
      <c r="G43" s="31">
        <f t="shared" ref="G43:H43" si="16">+SUM(G26:G42)</f>
        <v>1348100</v>
      </c>
      <c r="H43" s="31">
        <f t="shared" si="16"/>
        <v>1348100</v>
      </c>
      <c r="I43" s="31">
        <f>SUM(I26:I42)</f>
        <v>4044300</v>
      </c>
      <c r="K43" s="32">
        <f>+F43-M13</f>
        <v>134700</v>
      </c>
    </row>
    <row r="44" spans="1:11" ht="6" customHeight="1" x14ac:dyDescent="0.2">
      <c r="E44" s="34"/>
      <c r="F44" s="34"/>
      <c r="G44" s="24"/>
    </row>
    <row r="45" spans="1:11" ht="31.5" x14ac:dyDescent="0.2">
      <c r="A45" s="25"/>
      <c r="B45" s="108" t="s">
        <v>47</v>
      </c>
      <c r="C45" s="108"/>
      <c r="D45" s="108"/>
      <c r="E45" s="13" t="s">
        <v>143</v>
      </c>
      <c r="F45" s="13" t="s">
        <v>48</v>
      </c>
      <c r="G45" s="13" t="s">
        <v>49</v>
      </c>
      <c r="H45" s="13" t="s">
        <v>144</v>
      </c>
      <c r="I45" s="13" t="s">
        <v>145</v>
      </c>
    </row>
    <row r="46" spans="1:11" x14ac:dyDescent="0.2">
      <c r="A46" s="27">
        <v>1</v>
      </c>
      <c r="B46" s="109" t="s">
        <v>50</v>
      </c>
      <c r="C46" s="110"/>
      <c r="D46" s="111"/>
      <c r="E46" s="31">
        <f>340000+724000+146300+50000-E47</f>
        <v>1233300</v>
      </c>
      <c r="F46" s="31">
        <f>346000+780000+170100+52000-26500</f>
        <v>1321600</v>
      </c>
      <c r="G46" s="31">
        <f t="shared" ref="G46:H46" si="17">346000+780000+170100+52000-26500</f>
        <v>1321600</v>
      </c>
      <c r="H46" s="31">
        <f t="shared" si="17"/>
        <v>1321600</v>
      </c>
      <c r="I46" s="31">
        <f>SUM(F46:H46)</f>
        <v>3964800</v>
      </c>
    </row>
    <row r="47" spans="1:11" x14ac:dyDescent="0.2">
      <c r="A47" s="27">
        <v>2</v>
      </c>
      <c r="B47" s="109" t="s">
        <v>51</v>
      </c>
      <c r="C47" s="110"/>
      <c r="D47" s="111"/>
      <c r="E47" s="31">
        <f>1500+2000+20000+3500</f>
        <v>27000</v>
      </c>
      <c r="F47" s="31">
        <f>1500+2000+20000+3000</f>
        <v>26500</v>
      </c>
      <c r="G47" s="31">
        <f t="shared" ref="G47:H47" si="18">1500+2000+20000+3000</f>
        <v>26500</v>
      </c>
      <c r="H47" s="31">
        <f t="shared" si="18"/>
        <v>26500</v>
      </c>
      <c r="I47" s="31">
        <f t="shared" ref="I47:I48" si="19">SUM(F47:H47)</f>
        <v>79500</v>
      </c>
    </row>
    <row r="48" spans="1:11" x14ac:dyDescent="0.2">
      <c r="A48" s="130" t="s">
        <v>46</v>
      </c>
      <c r="B48" s="131"/>
      <c r="C48" s="131"/>
      <c r="D48" s="132"/>
      <c r="E48" s="31">
        <f>+E46+E47</f>
        <v>1260300</v>
      </c>
      <c r="F48" s="31">
        <f>F46+F47</f>
        <v>1348100</v>
      </c>
      <c r="G48" s="31">
        <f>G46+G47</f>
        <v>1348100</v>
      </c>
      <c r="H48" s="31">
        <f>H46+H47</f>
        <v>1348100</v>
      </c>
      <c r="I48" s="31">
        <f t="shared" si="19"/>
        <v>4044300</v>
      </c>
    </row>
    <row r="50" spans="5:8" x14ac:dyDescent="0.2">
      <c r="E50" s="35"/>
      <c r="F50" s="35"/>
    </row>
    <row r="52" spans="5:8" x14ac:dyDescent="0.2">
      <c r="E52" s="36"/>
      <c r="F52" s="36"/>
      <c r="G52" s="36"/>
      <c r="H52" s="36"/>
    </row>
    <row r="53" spans="5:8" x14ac:dyDescent="0.2">
      <c r="E53" s="36"/>
      <c r="F53" s="36"/>
      <c r="G53" s="36"/>
      <c r="H53" s="36"/>
    </row>
    <row r="54" spans="5:8" x14ac:dyDescent="0.2">
      <c r="E54" s="36"/>
      <c r="F54" s="36"/>
      <c r="G54" s="36"/>
      <c r="H54" s="36"/>
    </row>
    <row r="55" spans="5:8" x14ac:dyDescent="0.2">
      <c r="E55" s="36"/>
      <c r="F55" s="36"/>
      <c r="G55" s="36"/>
      <c r="H55" s="36"/>
    </row>
    <row r="56" spans="5:8" x14ac:dyDescent="0.2">
      <c r="E56" s="36"/>
      <c r="F56" s="36"/>
      <c r="G56" s="36"/>
      <c r="H56" s="36"/>
    </row>
  </sheetData>
  <mergeCells count="48">
    <mergeCell ref="A48:D48"/>
    <mergeCell ref="C36:D36"/>
    <mergeCell ref="C37:D37"/>
    <mergeCell ref="C40:D40"/>
    <mergeCell ref="C39:D39"/>
    <mergeCell ref="C38:D38"/>
    <mergeCell ref="A1:I1"/>
    <mergeCell ref="A2:B2"/>
    <mergeCell ref="C2:I2"/>
    <mergeCell ref="C41:D41"/>
    <mergeCell ref="A43:D43"/>
    <mergeCell ref="B16:C17"/>
    <mergeCell ref="A3:B3"/>
    <mergeCell ref="C3:I3"/>
    <mergeCell ref="C4:I4"/>
    <mergeCell ref="A4:B4"/>
    <mergeCell ref="C35:D35"/>
    <mergeCell ref="A12:A15"/>
    <mergeCell ref="B12:C15"/>
    <mergeCell ref="A18:A23"/>
    <mergeCell ref="A5:B5"/>
    <mergeCell ref="C5:I5"/>
    <mergeCell ref="A6:B6"/>
    <mergeCell ref="C6:I6"/>
    <mergeCell ref="A7:B7"/>
    <mergeCell ref="C7:I7"/>
    <mergeCell ref="B18:C23"/>
    <mergeCell ref="A8:B8"/>
    <mergeCell ref="C8:I8"/>
    <mergeCell ref="A10:A11"/>
    <mergeCell ref="B10:C11"/>
    <mergeCell ref="D10:I10"/>
    <mergeCell ref="D16:I16"/>
    <mergeCell ref="D24:F24"/>
    <mergeCell ref="B25:D25"/>
    <mergeCell ref="B47:D47"/>
    <mergeCell ref="B46:D46"/>
    <mergeCell ref="C29:D29"/>
    <mergeCell ref="B45:D45"/>
    <mergeCell ref="C28:D28"/>
    <mergeCell ref="C26:D26"/>
    <mergeCell ref="C27:D27"/>
    <mergeCell ref="C30:D30"/>
    <mergeCell ref="C31:D31"/>
    <mergeCell ref="C33:D33"/>
    <mergeCell ref="C32:D32"/>
    <mergeCell ref="C34:D34"/>
    <mergeCell ref="C42:D42"/>
  </mergeCells>
  <printOptions horizontalCentered="1"/>
  <pageMargins left="0" right="0" top="0" bottom="0.19685039370078741" header="0.51181102362204722" footer="0.51181102362204722"/>
  <pageSetup paperSize="9" scale="99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17" sqref="F17"/>
    </sheetView>
  </sheetViews>
  <sheetFormatPr defaultColWidth="11.42578125" defaultRowHeight="12.75" x14ac:dyDescent="0.2"/>
  <cols>
    <col min="1" max="1" width="11.42578125" style="1" customWidth="1"/>
    <col min="2" max="2" width="10" style="1" customWidth="1"/>
    <col min="3" max="3" width="17.140625" style="1" customWidth="1"/>
    <col min="4" max="4" width="26.28515625" style="1" customWidth="1"/>
    <col min="5" max="5" width="13" style="1" customWidth="1"/>
    <col min="6" max="6" width="14.28515625" style="1" customWidth="1"/>
    <col min="7" max="7" width="13.28515625" style="1" customWidth="1"/>
    <col min="8" max="8" width="12.85546875" style="1" customWidth="1"/>
    <col min="9" max="9" width="13.28515625" style="1" customWidth="1"/>
    <col min="10" max="16384" width="11.42578125" style="1"/>
  </cols>
  <sheetData>
    <row r="1" spans="1:9" ht="36" customHeight="1" thickBot="1" x14ac:dyDescent="0.25">
      <c r="A1" s="143" t="s">
        <v>100</v>
      </c>
      <c r="B1" s="144"/>
      <c r="C1" s="144"/>
      <c r="D1" s="144"/>
      <c r="E1" s="144"/>
      <c r="F1" s="144"/>
      <c r="G1" s="144"/>
      <c r="H1" s="144"/>
      <c r="I1" s="145"/>
    </row>
    <row r="2" spans="1:9" ht="51" x14ac:dyDescent="0.2">
      <c r="A2" s="2"/>
      <c r="B2" s="146" t="s">
        <v>93</v>
      </c>
      <c r="C2" s="146"/>
      <c r="D2" s="146"/>
      <c r="E2" s="5" t="s">
        <v>146</v>
      </c>
      <c r="F2" s="5" t="s">
        <v>115</v>
      </c>
      <c r="G2" s="5" t="s">
        <v>147</v>
      </c>
      <c r="H2" s="5" t="s">
        <v>148</v>
      </c>
      <c r="I2" s="5" t="s">
        <v>145</v>
      </c>
    </row>
    <row r="3" spans="1:9" x14ac:dyDescent="0.2">
      <c r="A3" s="3">
        <v>1</v>
      </c>
      <c r="B3" s="4" t="s">
        <v>94</v>
      </c>
      <c r="C3" s="142" t="s">
        <v>95</v>
      </c>
      <c r="D3" s="142"/>
      <c r="E3" s="6">
        <v>340000</v>
      </c>
      <c r="F3" s="60">
        <v>346000</v>
      </c>
      <c r="G3" s="60">
        <v>346000</v>
      </c>
      <c r="H3" s="60">
        <v>346000</v>
      </c>
      <c r="I3" s="6">
        <f>SUM(F3:H3)</f>
        <v>1038000</v>
      </c>
    </row>
    <row r="4" spans="1:9" x14ac:dyDescent="0.2">
      <c r="A4" s="3">
        <v>2</v>
      </c>
      <c r="B4" s="4" t="s">
        <v>94</v>
      </c>
      <c r="C4" s="142" t="s">
        <v>96</v>
      </c>
      <c r="D4" s="142"/>
      <c r="E4" s="6">
        <v>724000</v>
      </c>
      <c r="F4" s="60">
        <v>780000</v>
      </c>
      <c r="G4" s="60">
        <v>780000</v>
      </c>
      <c r="H4" s="60">
        <v>780000</v>
      </c>
      <c r="I4" s="6">
        <f t="shared" ref="I4:I6" si="0">SUM(F4:H4)</f>
        <v>2340000</v>
      </c>
    </row>
    <row r="5" spans="1:9" x14ac:dyDescent="0.2">
      <c r="A5" s="3">
        <v>3</v>
      </c>
      <c r="B5" s="4" t="s">
        <v>94</v>
      </c>
      <c r="C5" s="142" t="s">
        <v>97</v>
      </c>
      <c r="D5" s="142"/>
      <c r="E5" s="6">
        <v>50000</v>
      </c>
      <c r="F5" s="6">
        <v>52000</v>
      </c>
      <c r="G5" s="6">
        <v>52000</v>
      </c>
      <c r="H5" s="6">
        <v>52000</v>
      </c>
      <c r="I5" s="6">
        <f>SUM(F5:H5)</f>
        <v>156000</v>
      </c>
    </row>
    <row r="6" spans="1:9" x14ac:dyDescent="0.2">
      <c r="A6" s="3">
        <v>4</v>
      </c>
      <c r="B6" s="4" t="s">
        <v>94</v>
      </c>
      <c r="C6" s="142" t="s">
        <v>98</v>
      </c>
      <c r="D6" s="142"/>
      <c r="E6" s="6">
        <v>146300</v>
      </c>
      <c r="F6" s="60">
        <v>170100</v>
      </c>
      <c r="G6" s="60">
        <v>170100</v>
      </c>
      <c r="H6" s="60">
        <v>170100</v>
      </c>
      <c r="I6" s="6">
        <f t="shared" si="0"/>
        <v>510300</v>
      </c>
    </row>
    <row r="7" spans="1:9" x14ac:dyDescent="0.2">
      <c r="A7" s="141" t="s">
        <v>99</v>
      </c>
      <c r="B7" s="141"/>
      <c r="C7" s="141"/>
      <c r="D7" s="141"/>
      <c r="E7" s="61">
        <f>SUM(E3:E6)</f>
        <v>1260300</v>
      </c>
      <c r="F7" s="61">
        <f t="shared" ref="F7:I7" si="1">SUM(F3:F6)</f>
        <v>1348100</v>
      </c>
      <c r="G7" s="61">
        <f t="shared" si="1"/>
        <v>1348100</v>
      </c>
      <c r="H7" s="61">
        <f t="shared" si="1"/>
        <v>1348100</v>
      </c>
      <c r="I7" s="61">
        <f t="shared" si="1"/>
        <v>4044300</v>
      </c>
    </row>
  </sheetData>
  <mergeCells count="7">
    <mergeCell ref="A7:D7"/>
    <mergeCell ref="C6:D6"/>
    <mergeCell ref="A1:I1"/>
    <mergeCell ref="B2:D2"/>
    <mergeCell ref="C3:D3"/>
    <mergeCell ref="C4:D4"/>
    <mergeCell ref="C5:D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view="pageBreakPreview" zoomScale="120" zoomScaleNormal="106" zoomScaleSheetLayoutView="120" workbookViewId="0">
      <selection activeCell="E26" sqref="E26"/>
    </sheetView>
  </sheetViews>
  <sheetFormatPr defaultColWidth="8.85546875" defaultRowHeight="11.25" x14ac:dyDescent="0.2"/>
  <cols>
    <col min="1" max="1" width="6.7109375" style="37" customWidth="1"/>
    <col min="2" max="2" width="17" style="56" customWidth="1"/>
    <col min="3" max="3" width="28.28515625" style="56" customWidth="1"/>
    <col min="4" max="4" width="34.7109375" style="37" customWidth="1"/>
    <col min="5" max="5" width="10.85546875" style="37" customWidth="1"/>
    <col min="6" max="6" width="10.7109375" style="37" customWidth="1"/>
    <col min="7" max="7" width="10.42578125" style="37" customWidth="1"/>
    <col min="8" max="8" width="11.42578125" style="37" customWidth="1"/>
    <col min="9" max="9" width="23.140625" style="37" customWidth="1"/>
    <col min="10" max="16384" width="8.85546875" style="37"/>
  </cols>
  <sheetData>
    <row r="1" spans="1:9" ht="12" thickBot="1" x14ac:dyDescent="0.25">
      <c r="A1" s="85" t="s">
        <v>136</v>
      </c>
      <c r="B1" s="86"/>
      <c r="C1" s="86"/>
      <c r="D1" s="86"/>
      <c r="E1" s="86"/>
      <c r="F1" s="86"/>
      <c r="G1" s="86"/>
      <c r="H1" s="86"/>
      <c r="I1" s="87"/>
    </row>
    <row r="2" spans="1:9" s="69" customFormat="1" ht="15" customHeight="1" x14ac:dyDescent="0.2">
      <c r="A2" s="150" t="s">
        <v>102</v>
      </c>
      <c r="B2" s="151"/>
      <c r="C2" s="152" t="s">
        <v>13</v>
      </c>
      <c r="D2" s="152"/>
      <c r="E2" s="152"/>
      <c r="F2" s="152"/>
      <c r="G2" s="152"/>
      <c r="H2" s="152"/>
      <c r="I2" s="153"/>
    </row>
    <row r="3" spans="1:9" s="69" customFormat="1" x14ac:dyDescent="0.2">
      <c r="A3" s="79" t="s">
        <v>70</v>
      </c>
      <c r="B3" s="154"/>
      <c r="C3" s="155" t="s">
        <v>44</v>
      </c>
      <c r="D3" s="155"/>
      <c r="E3" s="155"/>
      <c r="F3" s="155"/>
      <c r="G3" s="155"/>
      <c r="H3" s="155"/>
      <c r="I3" s="156"/>
    </row>
    <row r="4" spans="1:9" s="69" customFormat="1" x14ac:dyDescent="0.2">
      <c r="A4" s="79" t="s">
        <v>72</v>
      </c>
      <c r="B4" s="154"/>
      <c r="C4" s="90" t="s">
        <v>23</v>
      </c>
      <c r="D4" s="90"/>
      <c r="E4" s="90"/>
      <c r="F4" s="90"/>
      <c r="G4" s="90"/>
      <c r="H4" s="90"/>
      <c r="I4" s="91"/>
    </row>
    <row r="5" spans="1:9" s="69" customFormat="1" x14ac:dyDescent="0.2">
      <c r="A5" s="79" t="s">
        <v>14</v>
      </c>
      <c r="B5" s="154"/>
      <c r="C5" s="155" t="s">
        <v>103</v>
      </c>
      <c r="D5" s="155"/>
      <c r="E5" s="155"/>
      <c r="F5" s="155"/>
      <c r="G5" s="155"/>
      <c r="H5" s="155"/>
      <c r="I5" s="156"/>
    </row>
    <row r="6" spans="1:9" s="69" customFormat="1" ht="24" customHeight="1" x14ac:dyDescent="0.2">
      <c r="A6" s="79" t="s">
        <v>16</v>
      </c>
      <c r="B6" s="154"/>
      <c r="C6" s="90" t="s">
        <v>75</v>
      </c>
      <c r="D6" s="90"/>
      <c r="E6" s="90"/>
      <c r="F6" s="90"/>
      <c r="G6" s="90"/>
      <c r="H6" s="90"/>
      <c r="I6" s="91"/>
    </row>
    <row r="7" spans="1:9" s="69" customFormat="1" ht="27.95" customHeight="1" x14ac:dyDescent="0.2">
      <c r="A7" s="79" t="s">
        <v>18</v>
      </c>
      <c r="B7" s="154"/>
      <c r="C7" s="90" t="s">
        <v>104</v>
      </c>
      <c r="D7" s="90"/>
      <c r="E7" s="90"/>
      <c r="F7" s="90"/>
      <c r="G7" s="90"/>
      <c r="H7" s="90"/>
      <c r="I7" s="91"/>
    </row>
    <row r="8" spans="1:9" s="69" customFormat="1" ht="32.25" customHeight="1" thickBot="1" x14ac:dyDescent="0.25">
      <c r="A8" s="97" t="s">
        <v>105</v>
      </c>
      <c r="B8" s="157"/>
      <c r="C8" s="158" t="s">
        <v>106</v>
      </c>
      <c r="D8" s="158"/>
      <c r="E8" s="158"/>
      <c r="F8" s="158"/>
      <c r="G8" s="158"/>
      <c r="H8" s="158"/>
      <c r="I8" s="159"/>
    </row>
    <row r="9" spans="1:9" x14ac:dyDescent="0.2">
      <c r="A9" s="38"/>
      <c r="B9" s="39"/>
      <c r="C9" s="40"/>
      <c r="D9" s="38"/>
      <c r="E9" s="38"/>
      <c r="F9" s="38"/>
    </row>
    <row r="10" spans="1:9" x14ac:dyDescent="0.2">
      <c r="A10" s="160"/>
      <c r="B10" s="162" t="s">
        <v>24</v>
      </c>
      <c r="C10" s="163"/>
      <c r="D10" s="78" t="s">
        <v>78</v>
      </c>
      <c r="E10" s="78"/>
      <c r="F10" s="78"/>
      <c r="G10" s="78"/>
      <c r="H10" s="78"/>
      <c r="I10" s="78"/>
    </row>
    <row r="11" spans="1:9" ht="42" x14ac:dyDescent="0.2">
      <c r="A11" s="161"/>
      <c r="B11" s="164"/>
      <c r="C11" s="165"/>
      <c r="D11" s="41" t="s">
        <v>26</v>
      </c>
      <c r="E11" s="62" t="s">
        <v>153</v>
      </c>
      <c r="F11" s="62" t="s">
        <v>29</v>
      </c>
      <c r="G11" s="62" t="s">
        <v>30</v>
      </c>
      <c r="H11" s="62" t="s">
        <v>151</v>
      </c>
      <c r="I11" s="42" t="s">
        <v>31</v>
      </c>
    </row>
    <row r="12" spans="1:9" ht="45" x14ac:dyDescent="0.2">
      <c r="A12" s="84">
        <v>1</v>
      </c>
      <c r="B12" s="82" t="s">
        <v>107</v>
      </c>
      <c r="C12" s="82"/>
      <c r="D12" s="63" t="s">
        <v>108</v>
      </c>
      <c r="E12" s="64" t="s">
        <v>109</v>
      </c>
      <c r="F12" s="64" t="s">
        <v>110</v>
      </c>
      <c r="G12" s="64" t="s">
        <v>110</v>
      </c>
      <c r="H12" s="64" t="s">
        <v>110</v>
      </c>
      <c r="I12" s="47" t="s">
        <v>111</v>
      </c>
    </row>
    <row r="13" spans="1:9" ht="33.75" x14ac:dyDescent="0.2">
      <c r="A13" s="84"/>
      <c r="B13" s="82"/>
      <c r="C13" s="82"/>
      <c r="D13" s="63" t="s">
        <v>160</v>
      </c>
      <c r="E13" s="45">
        <v>1350</v>
      </c>
      <c r="F13" s="45">
        <v>1400</v>
      </c>
      <c r="G13" s="45">
        <v>1400</v>
      </c>
      <c r="H13" s="45">
        <v>1400</v>
      </c>
      <c r="I13" s="47" t="s">
        <v>111</v>
      </c>
    </row>
    <row r="14" spans="1:9" ht="33.75" x14ac:dyDescent="0.2">
      <c r="A14" s="84"/>
      <c r="B14" s="82"/>
      <c r="C14" s="82"/>
      <c r="D14" s="63" t="s">
        <v>112</v>
      </c>
      <c r="E14" s="45">
        <v>58</v>
      </c>
      <c r="F14" s="45">
        <v>63</v>
      </c>
      <c r="G14" s="45">
        <v>64</v>
      </c>
      <c r="H14" s="45">
        <v>65</v>
      </c>
      <c r="I14" s="47" t="s">
        <v>111</v>
      </c>
    </row>
    <row r="15" spans="1:9" ht="22.5" x14ac:dyDescent="0.2">
      <c r="A15" s="84"/>
      <c r="B15" s="82"/>
      <c r="C15" s="82"/>
      <c r="D15" s="63" t="s">
        <v>113</v>
      </c>
      <c r="E15" s="44" t="s">
        <v>0</v>
      </c>
      <c r="F15" s="44" t="s">
        <v>1</v>
      </c>
      <c r="G15" s="44" t="s">
        <v>7</v>
      </c>
      <c r="H15" s="44" t="s">
        <v>8</v>
      </c>
      <c r="I15" s="63" t="s">
        <v>83</v>
      </c>
    </row>
    <row r="16" spans="1:9" x14ac:dyDescent="0.2">
      <c r="A16" s="49"/>
      <c r="B16" s="49"/>
      <c r="C16" s="49"/>
      <c r="D16" s="149"/>
      <c r="E16" s="149"/>
      <c r="F16" s="149"/>
      <c r="G16" s="50"/>
    </row>
    <row r="17" spans="1:9" ht="42" x14ac:dyDescent="0.2">
      <c r="A17" s="51"/>
      <c r="B17" s="78" t="s">
        <v>114</v>
      </c>
      <c r="C17" s="78"/>
      <c r="D17" s="78"/>
      <c r="E17" s="42" t="s">
        <v>146</v>
      </c>
      <c r="F17" s="42" t="s">
        <v>115</v>
      </c>
      <c r="G17" s="42" t="s">
        <v>101</v>
      </c>
      <c r="H17" s="42" t="s">
        <v>148</v>
      </c>
      <c r="I17" s="42" t="s">
        <v>145</v>
      </c>
    </row>
    <row r="18" spans="1:9" s="67" customFormat="1" x14ac:dyDescent="0.2">
      <c r="A18" s="52">
        <v>1</v>
      </c>
      <c r="B18" s="65">
        <v>412500</v>
      </c>
      <c r="C18" s="102" t="s">
        <v>116</v>
      </c>
      <c r="D18" s="102"/>
      <c r="E18" s="66">
        <v>75000</v>
      </c>
      <c r="F18" s="66">
        <v>100000</v>
      </c>
      <c r="G18" s="66">
        <v>100000</v>
      </c>
      <c r="H18" s="66">
        <v>100000</v>
      </c>
      <c r="I18" s="66">
        <f>SUM(F18:H18)</f>
        <v>300000</v>
      </c>
    </row>
    <row r="19" spans="1:9" x14ac:dyDescent="0.2">
      <c r="A19" s="104" t="s">
        <v>46</v>
      </c>
      <c r="B19" s="105"/>
      <c r="C19" s="105"/>
      <c r="D19" s="106"/>
      <c r="E19" s="68">
        <f>+E18</f>
        <v>75000</v>
      </c>
      <c r="F19" s="68">
        <f>+F18</f>
        <v>100000</v>
      </c>
      <c r="G19" s="68">
        <f>+G18</f>
        <v>100000</v>
      </c>
      <c r="H19" s="68">
        <f>+H18</f>
        <v>100000</v>
      </c>
      <c r="I19" s="68">
        <f t="shared" ref="I19" si="0">SUM(F19:H19)</f>
        <v>300000</v>
      </c>
    </row>
    <row r="20" spans="1:9" x14ac:dyDescent="0.2">
      <c r="E20" s="54"/>
      <c r="F20" s="54"/>
      <c r="G20" s="50"/>
    </row>
    <row r="21" spans="1:9" ht="42" x14ac:dyDescent="0.2">
      <c r="A21" s="51"/>
      <c r="B21" s="78" t="s">
        <v>47</v>
      </c>
      <c r="C21" s="78"/>
      <c r="D21" s="78"/>
      <c r="E21" s="42" t="s">
        <v>149</v>
      </c>
      <c r="F21" s="42" t="s">
        <v>117</v>
      </c>
      <c r="G21" s="42" t="s">
        <v>118</v>
      </c>
      <c r="H21" s="42" t="s">
        <v>150</v>
      </c>
      <c r="I21" s="42" t="s">
        <v>145</v>
      </c>
    </row>
    <row r="22" spans="1:9" ht="17.25" customHeight="1" x14ac:dyDescent="0.2">
      <c r="A22" s="52">
        <v>1</v>
      </c>
      <c r="B22" s="103" t="s">
        <v>50</v>
      </c>
      <c r="C22" s="147"/>
      <c r="D22" s="148"/>
      <c r="E22" s="66">
        <v>75000</v>
      </c>
      <c r="F22" s="66">
        <v>100000</v>
      </c>
      <c r="G22" s="66">
        <v>100000</v>
      </c>
      <c r="H22" s="66">
        <v>100000</v>
      </c>
      <c r="I22" s="66">
        <f>SUM(F22:H22)</f>
        <v>300000</v>
      </c>
    </row>
    <row r="23" spans="1:9" ht="18" customHeight="1" x14ac:dyDescent="0.2">
      <c r="A23" s="104" t="s">
        <v>46</v>
      </c>
      <c r="B23" s="105"/>
      <c r="C23" s="105"/>
      <c r="D23" s="106"/>
      <c r="E23" s="68">
        <f>+E22</f>
        <v>75000</v>
      </c>
      <c r="F23" s="68">
        <f>+F22</f>
        <v>100000</v>
      </c>
      <c r="G23" s="68">
        <f t="shared" ref="G23:H23" si="1">+G22</f>
        <v>100000</v>
      </c>
      <c r="H23" s="68">
        <f t="shared" si="1"/>
        <v>100000</v>
      </c>
      <c r="I23" s="68">
        <f t="shared" ref="I23" si="2">SUM(F23:H23)</f>
        <v>300000</v>
      </c>
    </row>
  </sheetData>
  <mergeCells count="27">
    <mergeCell ref="A23:D23"/>
    <mergeCell ref="A4:B4"/>
    <mergeCell ref="C4:I4"/>
    <mergeCell ref="B12:C15"/>
    <mergeCell ref="A12:A15"/>
    <mergeCell ref="A5:B5"/>
    <mergeCell ref="C5:I5"/>
    <mergeCell ref="A6:B6"/>
    <mergeCell ref="C6:I6"/>
    <mergeCell ref="A7:B7"/>
    <mergeCell ref="C7:I7"/>
    <mergeCell ref="A8:B8"/>
    <mergeCell ref="C8:I8"/>
    <mergeCell ref="A10:A11"/>
    <mergeCell ref="B10:C11"/>
    <mergeCell ref="D10:I10"/>
    <mergeCell ref="A1:I1"/>
    <mergeCell ref="A2:B2"/>
    <mergeCell ref="C2:I2"/>
    <mergeCell ref="A3:B3"/>
    <mergeCell ref="C3:I3"/>
    <mergeCell ref="B22:D22"/>
    <mergeCell ref="D16:F16"/>
    <mergeCell ref="B17:D17"/>
    <mergeCell ref="C18:D18"/>
    <mergeCell ref="B21:D21"/>
    <mergeCell ref="A19:D19"/>
  </mergeCells>
  <printOptions horizontalCentered="1"/>
  <pageMargins left="0.39370078740157483" right="0.31496062992125984" top="0.98425196850393704" bottom="0.98425196850393704" header="0.51181102362204722" footer="0.51181102362204722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zoomScale="60" zoomScaleNormal="118" workbookViewId="0">
      <selection activeCell="G9" sqref="G9"/>
    </sheetView>
  </sheetViews>
  <sheetFormatPr defaultColWidth="11.42578125" defaultRowHeight="11.25" x14ac:dyDescent="0.2"/>
  <cols>
    <col min="1" max="1" width="7.28515625" style="7" customWidth="1"/>
    <col min="2" max="2" width="9.7109375" style="7" customWidth="1"/>
    <col min="3" max="3" width="17.140625" style="7" customWidth="1"/>
    <col min="4" max="4" width="20.7109375" style="7" customWidth="1"/>
    <col min="5" max="5" width="11.42578125" style="7" customWidth="1"/>
    <col min="6" max="6" width="11.7109375" style="7" customWidth="1"/>
    <col min="7" max="7" width="12.42578125" style="7" customWidth="1"/>
    <col min="8" max="8" width="11.7109375" style="7" customWidth="1"/>
    <col min="9" max="9" width="13" style="7" customWidth="1"/>
    <col min="10" max="16384" width="11.42578125" style="7"/>
  </cols>
  <sheetData>
    <row r="1" spans="1:9" ht="27" customHeight="1" thickBot="1" x14ac:dyDescent="0.25">
      <c r="A1" s="123" t="s">
        <v>100</v>
      </c>
      <c r="B1" s="124"/>
      <c r="C1" s="124"/>
      <c r="D1" s="124"/>
      <c r="E1" s="124"/>
      <c r="F1" s="124"/>
      <c r="G1" s="124"/>
      <c r="H1" s="124"/>
      <c r="I1" s="125"/>
    </row>
    <row r="2" spans="1:9" ht="42" x14ac:dyDescent="0.2">
      <c r="A2" s="25"/>
      <c r="B2" s="108" t="s">
        <v>119</v>
      </c>
      <c r="C2" s="108"/>
      <c r="D2" s="108"/>
      <c r="E2" s="70" t="s">
        <v>146</v>
      </c>
      <c r="F2" s="13" t="s">
        <v>115</v>
      </c>
      <c r="G2" s="13" t="s">
        <v>147</v>
      </c>
      <c r="H2" s="13" t="s">
        <v>148</v>
      </c>
      <c r="I2" s="13" t="s">
        <v>145</v>
      </c>
    </row>
    <row r="3" spans="1:9" s="74" customFormat="1" ht="48" customHeight="1" x14ac:dyDescent="0.2">
      <c r="A3" s="72">
        <v>1</v>
      </c>
      <c r="B3" s="73" t="s">
        <v>94</v>
      </c>
      <c r="C3" s="166" t="s">
        <v>120</v>
      </c>
      <c r="D3" s="167"/>
      <c r="E3" s="31">
        <v>47300</v>
      </c>
      <c r="F3" s="29">
        <v>48000</v>
      </c>
      <c r="G3" s="29">
        <v>48000</v>
      </c>
      <c r="H3" s="29">
        <v>48000</v>
      </c>
      <c r="I3" s="29">
        <f>SUM(F3:H3)</f>
        <v>144000</v>
      </c>
    </row>
    <row r="4" spans="1:9" s="74" customFormat="1" ht="50.1" customHeight="1" x14ac:dyDescent="0.2">
      <c r="A4" s="72">
        <v>2</v>
      </c>
      <c r="B4" s="73" t="s">
        <v>94</v>
      </c>
      <c r="C4" s="166" t="s">
        <v>121</v>
      </c>
      <c r="D4" s="167"/>
      <c r="E4" s="31">
        <v>27700</v>
      </c>
      <c r="F4" s="29">
        <v>52000</v>
      </c>
      <c r="G4" s="29">
        <v>52000</v>
      </c>
      <c r="H4" s="29">
        <v>52000</v>
      </c>
      <c r="I4" s="29">
        <f>SUM(F4:H4)</f>
        <v>156000</v>
      </c>
    </row>
    <row r="5" spans="1:9" x14ac:dyDescent="0.2">
      <c r="A5" s="168" t="s">
        <v>99</v>
      </c>
      <c r="B5" s="168"/>
      <c r="C5" s="168"/>
      <c r="D5" s="168"/>
      <c r="E5" s="75">
        <f>SUM(E1:E4)</f>
        <v>75000</v>
      </c>
      <c r="F5" s="68">
        <f t="shared" ref="F5:I5" si="0">SUM(F1:F4)</f>
        <v>100000</v>
      </c>
      <c r="G5" s="68">
        <f t="shared" si="0"/>
        <v>100000</v>
      </c>
      <c r="H5" s="68">
        <f t="shared" si="0"/>
        <v>100000</v>
      </c>
      <c r="I5" s="68">
        <f t="shared" si="0"/>
        <v>300000</v>
      </c>
    </row>
    <row r="9" spans="1:9" x14ac:dyDescent="0.2">
      <c r="H9" s="8"/>
    </row>
  </sheetData>
  <mergeCells count="5">
    <mergeCell ref="A1:I1"/>
    <mergeCell ref="B2:D2"/>
    <mergeCell ref="C3:D3"/>
    <mergeCell ref="C4:D4"/>
    <mergeCell ref="A5:D5"/>
  </mergeCells>
  <printOptions horizontalCentered="1"/>
  <pageMargins left="0.11811023622047245" right="0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="120" zoomScaleNormal="116" zoomScaleSheetLayoutView="120" workbookViewId="0">
      <selection activeCell="C4" sqref="C4:I4"/>
    </sheetView>
  </sheetViews>
  <sheetFormatPr defaultColWidth="8.85546875" defaultRowHeight="11.25" x14ac:dyDescent="0.2"/>
  <cols>
    <col min="1" max="1" width="6.7109375" style="7" customWidth="1"/>
    <col min="2" max="2" width="17" style="33" customWidth="1"/>
    <col min="3" max="3" width="28.28515625" style="33" customWidth="1"/>
    <col min="4" max="4" width="22.28515625" style="7" customWidth="1"/>
    <col min="5" max="5" width="9.42578125" style="7" customWidth="1"/>
    <col min="6" max="6" width="9.7109375" style="7" customWidth="1"/>
    <col min="7" max="7" width="9.42578125" style="7" customWidth="1"/>
    <col min="8" max="8" width="9.28515625" style="7" customWidth="1"/>
    <col min="9" max="9" width="21.7109375" style="7" customWidth="1"/>
    <col min="10" max="16384" width="8.85546875" style="7"/>
  </cols>
  <sheetData>
    <row r="1" spans="1:9" ht="12" thickBot="1" x14ac:dyDescent="0.25">
      <c r="A1" s="123" t="s">
        <v>135</v>
      </c>
      <c r="B1" s="124"/>
      <c r="C1" s="124"/>
      <c r="D1" s="124"/>
      <c r="E1" s="124"/>
      <c r="F1" s="124"/>
      <c r="G1" s="124"/>
      <c r="H1" s="124"/>
      <c r="I1" s="125"/>
    </row>
    <row r="2" spans="1:9" s="8" customFormat="1" x14ac:dyDescent="0.2">
      <c r="A2" s="126" t="s">
        <v>69</v>
      </c>
      <c r="B2" s="127"/>
      <c r="C2" s="174" t="s">
        <v>13</v>
      </c>
      <c r="D2" s="174"/>
      <c r="E2" s="174"/>
      <c r="F2" s="174"/>
      <c r="G2" s="174"/>
      <c r="H2" s="174"/>
      <c r="I2" s="175"/>
    </row>
    <row r="3" spans="1:9" s="8" customFormat="1" x14ac:dyDescent="0.2">
      <c r="A3" s="113" t="s">
        <v>70</v>
      </c>
      <c r="B3" s="114"/>
      <c r="C3" s="133" t="s">
        <v>45</v>
      </c>
      <c r="D3" s="133"/>
      <c r="E3" s="133"/>
      <c r="F3" s="133"/>
      <c r="G3" s="133"/>
      <c r="H3" s="133"/>
      <c r="I3" s="134"/>
    </row>
    <row r="4" spans="1:9" s="8" customFormat="1" x14ac:dyDescent="0.2">
      <c r="A4" s="137" t="s">
        <v>22</v>
      </c>
      <c r="B4" s="114"/>
      <c r="C4" s="115" t="s">
        <v>122</v>
      </c>
      <c r="D4" s="115"/>
      <c r="E4" s="115"/>
      <c r="F4" s="115"/>
      <c r="G4" s="115"/>
      <c r="H4" s="115"/>
      <c r="I4" s="116"/>
    </row>
    <row r="5" spans="1:9" s="8" customFormat="1" x14ac:dyDescent="0.2">
      <c r="A5" s="113" t="s">
        <v>14</v>
      </c>
      <c r="B5" s="114"/>
      <c r="C5" s="139" t="s">
        <v>123</v>
      </c>
      <c r="D5" s="139"/>
      <c r="E5" s="139"/>
      <c r="F5" s="139"/>
      <c r="G5" s="139"/>
      <c r="H5" s="139"/>
      <c r="I5" s="140"/>
    </row>
    <row r="6" spans="1:9" s="8" customFormat="1" ht="36" customHeight="1" x14ac:dyDescent="0.2">
      <c r="A6" s="113" t="s">
        <v>16</v>
      </c>
      <c r="B6" s="114"/>
      <c r="C6" s="115" t="s">
        <v>75</v>
      </c>
      <c r="D6" s="115"/>
      <c r="E6" s="115"/>
      <c r="F6" s="115"/>
      <c r="G6" s="115"/>
      <c r="H6" s="115"/>
      <c r="I6" s="116"/>
    </row>
    <row r="7" spans="1:9" s="8" customFormat="1" ht="25.5" customHeight="1" x14ac:dyDescent="0.2">
      <c r="A7" s="113" t="s">
        <v>18</v>
      </c>
      <c r="B7" s="114"/>
      <c r="C7" s="115" t="s">
        <v>124</v>
      </c>
      <c r="D7" s="115"/>
      <c r="E7" s="115"/>
      <c r="F7" s="115"/>
      <c r="G7" s="115"/>
      <c r="H7" s="115"/>
      <c r="I7" s="116"/>
    </row>
    <row r="8" spans="1:9" s="8" customFormat="1" ht="38.25" customHeight="1" thickBot="1" x14ac:dyDescent="0.25">
      <c r="A8" s="118" t="s">
        <v>77</v>
      </c>
      <c r="B8" s="119"/>
      <c r="C8" s="172" t="s">
        <v>125</v>
      </c>
      <c r="D8" s="172"/>
      <c r="E8" s="172"/>
      <c r="F8" s="172"/>
      <c r="G8" s="172"/>
      <c r="H8" s="172"/>
      <c r="I8" s="173"/>
    </row>
    <row r="9" spans="1:9" x14ac:dyDescent="0.2">
      <c r="A9" s="9"/>
      <c r="B9" s="10"/>
      <c r="C9" s="11"/>
      <c r="D9" s="9"/>
      <c r="E9" s="9"/>
      <c r="F9" s="9"/>
    </row>
    <row r="10" spans="1:9" x14ac:dyDescent="0.2">
      <c r="A10" s="122"/>
      <c r="B10" s="108" t="s">
        <v>24</v>
      </c>
      <c r="C10" s="108"/>
      <c r="D10" s="108" t="s">
        <v>78</v>
      </c>
      <c r="E10" s="108"/>
      <c r="F10" s="108"/>
      <c r="G10" s="108"/>
      <c r="H10" s="108"/>
      <c r="I10" s="108"/>
    </row>
    <row r="11" spans="1:9" ht="52.5" x14ac:dyDescent="0.2">
      <c r="A11" s="122"/>
      <c r="B11" s="108"/>
      <c r="C11" s="108"/>
      <c r="D11" s="12"/>
      <c r="E11" s="12" t="s">
        <v>153</v>
      </c>
      <c r="F11" s="13" t="s">
        <v>29</v>
      </c>
      <c r="G11" s="13" t="s">
        <v>30</v>
      </c>
      <c r="H11" s="13" t="s">
        <v>151</v>
      </c>
      <c r="I11" s="12" t="s">
        <v>31</v>
      </c>
    </row>
    <row r="12" spans="1:9" ht="33.75" x14ac:dyDescent="0.2">
      <c r="A12" s="138">
        <v>1</v>
      </c>
      <c r="B12" s="117" t="s">
        <v>126</v>
      </c>
      <c r="C12" s="117"/>
      <c r="D12" s="16" t="s">
        <v>127</v>
      </c>
      <c r="E12" s="76">
        <v>8</v>
      </c>
      <c r="F12" s="76">
        <v>15</v>
      </c>
      <c r="G12" s="76">
        <v>15</v>
      </c>
      <c r="H12" s="76">
        <v>15</v>
      </c>
      <c r="I12" s="16" t="s">
        <v>128</v>
      </c>
    </row>
    <row r="13" spans="1:9" ht="33.75" x14ac:dyDescent="0.2">
      <c r="A13" s="138"/>
      <c r="B13" s="117"/>
      <c r="C13" s="117"/>
      <c r="D13" s="16" t="s">
        <v>129</v>
      </c>
      <c r="E13" s="21">
        <v>8500</v>
      </c>
      <c r="F13" s="76">
        <v>9000</v>
      </c>
      <c r="G13" s="76">
        <v>9000</v>
      </c>
      <c r="H13" s="76">
        <v>9000</v>
      </c>
      <c r="I13" s="16" t="s">
        <v>130</v>
      </c>
    </row>
    <row r="14" spans="1:9" x14ac:dyDescent="0.2">
      <c r="A14" s="19"/>
      <c r="B14" s="19"/>
      <c r="C14" s="19"/>
      <c r="D14" s="107"/>
      <c r="E14" s="107"/>
      <c r="F14" s="107"/>
      <c r="G14" s="24"/>
    </row>
    <row r="15" spans="1:9" ht="31.5" x14ac:dyDescent="0.2">
      <c r="A15" s="25"/>
      <c r="B15" s="108" t="s">
        <v>52</v>
      </c>
      <c r="C15" s="108"/>
      <c r="D15" s="108"/>
      <c r="E15" s="13" t="s">
        <v>139</v>
      </c>
      <c r="F15" s="13" t="s">
        <v>40</v>
      </c>
      <c r="G15" s="13" t="s">
        <v>41</v>
      </c>
      <c r="H15" s="13" t="s">
        <v>140</v>
      </c>
      <c r="I15" s="13" t="s">
        <v>145</v>
      </c>
    </row>
    <row r="16" spans="1:9" s="30" customFormat="1" x14ac:dyDescent="0.2">
      <c r="A16" s="27">
        <v>1</v>
      </c>
      <c r="B16" s="28">
        <v>412700</v>
      </c>
      <c r="C16" s="112" t="s">
        <v>62</v>
      </c>
      <c r="D16" s="112"/>
      <c r="E16" s="29">
        <v>15000</v>
      </c>
      <c r="F16" s="29">
        <v>25000</v>
      </c>
      <c r="G16" s="29">
        <v>25000</v>
      </c>
      <c r="H16" s="29">
        <v>25000</v>
      </c>
      <c r="I16" s="29">
        <f>SUM(F16:H16)</f>
        <v>75000</v>
      </c>
    </row>
    <row r="17" spans="1:9" s="30" customFormat="1" x14ac:dyDescent="0.2">
      <c r="A17" s="27">
        <v>2</v>
      </c>
      <c r="B17" s="28">
        <v>412900</v>
      </c>
      <c r="C17" s="112" t="s">
        <v>63</v>
      </c>
      <c r="D17" s="112"/>
      <c r="E17" s="29">
        <v>55000</v>
      </c>
      <c r="F17" s="29">
        <v>55000</v>
      </c>
      <c r="G17" s="29">
        <v>55000</v>
      </c>
      <c r="H17" s="29">
        <v>55000</v>
      </c>
      <c r="I17" s="29">
        <f t="shared" ref="I17:I18" si="0">SUM(F17:H17)</f>
        <v>165000</v>
      </c>
    </row>
    <row r="18" spans="1:9" x14ac:dyDescent="0.2">
      <c r="A18" s="104" t="s">
        <v>46</v>
      </c>
      <c r="B18" s="105"/>
      <c r="C18" s="105"/>
      <c r="D18" s="106"/>
      <c r="E18" s="68">
        <f>+E16+E17</f>
        <v>70000</v>
      </c>
      <c r="F18" s="68">
        <f>+F16+F17</f>
        <v>80000</v>
      </c>
      <c r="G18" s="68">
        <f>+G16+G17</f>
        <v>80000</v>
      </c>
      <c r="H18" s="68">
        <f>+H16+H17</f>
        <v>80000</v>
      </c>
      <c r="I18" s="68">
        <f t="shared" si="0"/>
        <v>240000</v>
      </c>
    </row>
    <row r="19" spans="1:9" x14ac:dyDescent="0.2">
      <c r="E19" s="34"/>
      <c r="F19" s="34"/>
      <c r="G19" s="24"/>
    </row>
    <row r="20" spans="1:9" ht="31.5" x14ac:dyDescent="0.2">
      <c r="A20" s="25"/>
      <c r="B20" s="108" t="s">
        <v>47</v>
      </c>
      <c r="C20" s="108"/>
      <c r="D20" s="108"/>
      <c r="E20" s="13" t="s">
        <v>143</v>
      </c>
      <c r="F20" s="13" t="s">
        <v>48</v>
      </c>
      <c r="G20" s="13" t="s">
        <v>49</v>
      </c>
      <c r="H20" s="13" t="s">
        <v>144</v>
      </c>
      <c r="I20" s="13" t="s">
        <v>145</v>
      </c>
    </row>
    <row r="21" spans="1:9" x14ac:dyDescent="0.2">
      <c r="A21" s="27">
        <v>1</v>
      </c>
      <c r="B21" s="169" t="s">
        <v>50</v>
      </c>
      <c r="C21" s="170"/>
      <c r="D21" s="171"/>
      <c r="E21" s="29">
        <f>+E18</f>
        <v>70000</v>
      </c>
      <c r="F21" s="29">
        <v>80000</v>
      </c>
      <c r="G21" s="29">
        <v>80000</v>
      </c>
      <c r="H21" s="29">
        <v>80000</v>
      </c>
      <c r="I21" s="29">
        <f>SUM(F21:H21)</f>
        <v>240000</v>
      </c>
    </row>
    <row r="22" spans="1:9" x14ac:dyDescent="0.2">
      <c r="A22" s="104" t="s">
        <v>46</v>
      </c>
      <c r="B22" s="105"/>
      <c r="C22" s="105"/>
      <c r="D22" s="106"/>
      <c r="E22" s="68">
        <f>+E21</f>
        <v>70000</v>
      </c>
      <c r="F22" s="68">
        <f>+F21</f>
        <v>80000</v>
      </c>
      <c r="G22" s="68">
        <f t="shared" ref="G22:H22" si="1">+G21</f>
        <v>80000</v>
      </c>
      <c r="H22" s="68">
        <f t="shared" si="1"/>
        <v>80000</v>
      </c>
      <c r="I22" s="68">
        <f t="shared" ref="I22" si="2">SUM(F22:H22)</f>
        <v>240000</v>
      </c>
    </row>
  </sheetData>
  <mergeCells count="28">
    <mergeCell ref="A22:D22"/>
    <mergeCell ref="A4:B4"/>
    <mergeCell ref="C4:I4"/>
    <mergeCell ref="A1:I1"/>
    <mergeCell ref="A2:B2"/>
    <mergeCell ref="C2:I2"/>
    <mergeCell ref="A3:B3"/>
    <mergeCell ref="C3:I3"/>
    <mergeCell ref="A12:A13"/>
    <mergeCell ref="B12:C13"/>
    <mergeCell ref="A5:B5"/>
    <mergeCell ref="C5:I5"/>
    <mergeCell ref="A6:B6"/>
    <mergeCell ref="C6:I6"/>
    <mergeCell ref="A7:B7"/>
    <mergeCell ref="C7:I7"/>
    <mergeCell ref="A8:B8"/>
    <mergeCell ref="C8:I8"/>
    <mergeCell ref="A10:A11"/>
    <mergeCell ref="B10:C11"/>
    <mergeCell ref="D10:I10"/>
    <mergeCell ref="B21:D21"/>
    <mergeCell ref="D14:F14"/>
    <mergeCell ref="B15:D15"/>
    <mergeCell ref="C16:D16"/>
    <mergeCell ref="C17:D17"/>
    <mergeCell ref="B20:D20"/>
    <mergeCell ref="A18:D18"/>
  </mergeCells>
  <printOptions horizontalCentered="1"/>
  <pageMargins left="0" right="0" top="0" bottom="0.1968503937007874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view="pageBreakPreview" zoomScale="60" zoomScaleNormal="116" workbookViewId="0">
      <selection activeCell="F27" sqref="F27"/>
    </sheetView>
  </sheetViews>
  <sheetFormatPr defaultColWidth="11.42578125" defaultRowHeight="11.25" x14ac:dyDescent="0.2"/>
  <cols>
    <col min="1" max="1" width="11.42578125" style="7"/>
    <col min="2" max="2" width="11.7109375" style="7" customWidth="1"/>
    <col min="3" max="3" width="17.140625" style="7" customWidth="1"/>
    <col min="4" max="4" width="24" style="7" customWidth="1"/>
    <col min="5" max="16384" width="11.42578125" style="7"/>
  </cols>
  <sheetData>
    <row r="1" spans="1:9" ht="38.1" customHeight="1" thickBot="1" x14ac:dyDescent="0.25">
      <c r="A1" s="123" t="s">
        <v>100</v>
      </c>
      <c r="B1" s="124"/>
      <c r="C1" s="124"/>
      <c r="D1" s="124"/>
      <c r="E1" s="124"/>
      <c r="F1" s="124"/>
      <c r="G1" s="124"/>
      <c r="H1" s="124"/>
      <c r="I1" s="125"/>
    </row>
    <row r="2" spans="1:9" ht="31.5" x14ac:dyDescent="0.2">
      <c r="A2" s="25"/>
      <c r="B2" s="108" t="s">
        <v>131</v>
      </c>
      <c r="C2" s="108"/>
      <c r="D2" s="108"/>
      <c r="E2" s="13" t="s">
        <v>139</v>
      </c>
      <c r="F2" s="13" t="s">
        <v>40</v>
      </c>
      <c r="G2" s="13" t="s">
        <v>41</v>
      </c>
      <c r="H2" s="13" t="s">
        <v>140</v>
      </c>
      <c r="I2" s="13" t="s">
        <v>145</v>
      </c>
    </row>
    <row r="3" spans="1:9" x14ac:dyDescent="0.2">
      <c r="A3" s="27">
        <v>1</v>
      </c>
      <c r="B3" s="71" t="s">
        <v>94</v>
      </c>
      <c r="C3" s="112" t="s">
        <v>132</v>
      </c>
      <c r="D3" s="112"/>
      <c r="E3" s="29">
        <v>30000</v>
      </c>
      <c r="F3" s="29">
        <v>20000</v>
      </c>
      <c r="G3" s="29">
        <v>20000</v>
      </c>
      <c r="H3" s="29">
        <v>20000</v>
      </c>
      <c r="I3" s="29">
        <f>SUM(F3:H3)</f>
        <v>60000</v>
      </c>
    </row>
    <row r="4" spans="1:9" x14ac:dyDescent="0.2">
      <c r="A4" s="27">
        <v>2</v>
      </c>
      <c r="B4" s="71" t="s">
        <v>94</v>
      </c>
      <c r="C4" s="166" t="s">
        <v>152</v>
      </c>
      <c r="D4" s="167"/>
      <c r="E4" s="29">
        <v>15000</v>
      </c>
      <c r="F4" s="29">
        <v>30000</v>
      </c>
      <c r="G4" s="29">
        <v>30000</v>
      </c>
      <c r="H4" s="29">
        <v>30000</v>
      </c>
      <c r="I4" s="29">
        <f t="shared" ref="I4:I6" si="0">SUM(F4:H4)</f>
        <v>90000</v>
      </c>
    </row>
    <row r="5" spans="1:9" x14ac:dyDescent="0.2">
      <c r="A5" s="27">
        <v>3</v>
      </c>
      <c r="B5" s="71" t="s">
        <v>94</v>
      </c>
      <c r="C5" s="112" t="s">
        <v>133</v>
      </c>
      <c r="D5" s="112"/>
      <c r="E5" s="29">
        <v>10000</v>
      </c>
      <c r="F5" s="29">
        <v>10000</v>
      </c>
      <c r="G5" s="29">
        <v>10000</v>
      </c>
      <c r="H5" s="29">
        <v>10000</v>
      </c>
      <c r="I5" s="29">
        <f>SUM(F5:H5)</f>
        <v>30000</v>
      </c>
    </row>
    <row r="6" spans="1:9" x14ac:dyDescent="0.2">
      <c r="A6" s="27">
        <v>4</v>
      </c>
      <c r="B6" s="71" t="s">
        <v>94</v>
      </c>
      <c r="C6" s="112" t="s">
        <v>134</v>
      </c>
      <c r="D6" s="112"/>
      <c r="E6" s="29">
        <v>15000</v>
      </c>
      <c r="F6" s="29">
        <v>20000</v>
      </c>
      <c r="G6" s="29">
        <v>20000</v>
      </c>
      <c r="H6" s="29">
        <v>20000</v>
      </c>
      <c r="I6" s="29">
        <f t="shared" si="0"/>
        <v>60000</v>
      </c>
    </row>
    <row r="7" spans="1:9" x14ac:dyDescent="0.2">
      <c r="A7" s="168" t="s">
        <v>99</v>
      </c>
      <c r="B7" s="168"/>
      <c r="C7" s="168"/>
      <c r="D7" s="168"/>
      <c r="E7" s="68">
        <f>SUM(E3:E6)</f>
        <v>70000</v>
      </c>
      <c r="F7" s="68">
        <f t="shared" ref="F7:I7" si="1">SUM(F3:F6)</f>
        <v>80000</v>
      </c>
      <c r="G7" s="68">
        <f t="shared" si="1"/>
        <v>80000</v>
      </c>
      <c r="H7" s="68">
        <f t="shared" si="1"/>
        <v>80000</v>
      </c>
      <c r="I7" s="68">
        <f t="shared" si="1"/>
        <v>240000</v>
      </c>
    </row>
    <row r="8" spans="1:9" x14ac:dyDescent="0.2">
      <c r="A8" s="77"/>
      <c r="B8" s="77"/>
      <c r="C8" s="77"/>
      <c r="D8" s="77"/>
      <c r="E8" s="77"/>
      <c r="F8" s="77"/>
      <c r="G8" s="77"/>
      <c r="H8" s="77"/>
      <c r="I8" s="77"/>
    </row>
  </sheetData>
  <mergeCells count="7">
    <mergeCell ref="A7:D7"/>
    <mergeCell ref="C6:D6"/>
    <mergeCell ref="A1:I1"/>
    <mergeCell ref="B2:D2"/>
    <mergeCell ref="C3:D3"/>
    <mergeCell ref="C4:D4"/>
    <mergeCell ref="C5:D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Program KULTURA</vt:lpstr>
      <vt:lpstr>PA 1</vt:lpstr>
      <vt:lpstr>PA 1 - Projekti</vt:lpstr>
      <vt:lpstr>PA 2</vt:lpstr>
      <vt:lpstr>PA 2 - Projekti</vt:lpstr>
      <vt:lpstr>PA 3</vt:lpstr>
      <vt:lpstr>PA 3 - Projekti</vt:lpstr>
      <vt:lpstr>'PA 1'!Print_Area</vt:lpstr>
      <vt:lpstr>'PA 2'!Print_Area</vt:lpstr>
      <vt:lpstr>'PA 3'!Print_Area</vt:lpstr>
      <vt:lpstr>'Program KULTURA'!Print_Area</vt:lpstr>
    </vt:vector>
  </TitlesOfParts>
  <Company>PRESSNOW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 Rokvić</dc:creator>
  <cp:lastModifiedBy>Dalibor Rokvić</cp:lastModifiedBy>
  <cp:lastPrinted>2021-02-15T12:52:55Z</cp:lastPrinted>
  <dcterms:created xsi:type="dcterms:W3CDTF">2006-04-28T10:39:09Z</dcterms:created>
  <dcterms:modified xsi:type="dcterms:W3CDTF">2021-02-15T12:53:41Z</dcterms:modified>
</cp:coreProperties>
</file>